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OKONOMI\2025\Budsjett\Sammenstilling av budsjett\"/>
    </mc:Choice>
  </mc:AlternateContent>
  <xr:revisionPtr revIDLastSave="0" documentId="13_ncr:1_{704CD5BC-837D-4686-8398-014A00DFF1F8}" xr6:coauthVersionLast="47" xr6:coauthVersionMax="47" xr10:uidLastSave="{00000000-0000-0000-0000-000000000000}"/>
  <bookViews>
    <workbookView xWindow="-120" yWindow="-120" windowWidth="29040" windowHeight="15720" xr2:uid="{DE3CDBAF-6F75-4DFA-80C4-6627433AE0E2}"/>
  </bookViews>
  <sheets>
    <sheet name="Økonomiplan drift" sheetId="2" r:id="rId1"/>
    <sheet name="Økonomiplan Investering" sheetId="3" r:id="rId2"/>
  </sheets>
  <definedNames>
    <definedName name="_xlnm.Print_Area" localSheetId="0">'Økonomiplan drift'!$A$1:$F$73</definedName>
    <definedName name="_xlnm.Print_Area" localSheetId="1">'Økonomiplan Investering'!$A$1:$J$73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2" l="1"/>
  <c r="D42" i="2"/>
  <c r="C42" i="2"/>
  <c r="B42" i="2"/>
  <c r="E25" i="2"/>
  <c r="D25" i="2"/>
  <c r="C25" i="2"/>
  <c r="F12" i="3" l="1"/>
  <c r="D31" i="3" l="1"/>
  <c r="D33" i="3" s="1"/>
  <c r="E31" i="3"/>
  <c r="E33" i="3" s="1"/>
  <c r="B31" i="3"/>
  <c r="B33" i="3" s="1"/>
  <c r="I30" i="3"/>
  <c r="H30" i="3"/>
  <c r="G30" i="3"/>
  <c r="F30" i="3"/>
  <c r="I29" i="3"/>
  <c r="H29" i="3"/>
  <c r="G29" i="3"/>
  <c r="F29" i="3"/>
  <c r="I28" i="3"/>
  <c r="H28" i="3"/>
  <c r="G28" i="3"/>
  <c r="F28" i="3"/>
  <c r="I27" i="3"/>
  <c r="H27" i="3"/>
  <c r="G27" i="3"/>
  <c r="F27" i="3"/>
  <c r="I24" i="3"/>
  <c r="H24" i="3"/>
  <c r="G24" i="3"/>
  <c r="F24" i="3"/>
  <c r="I23" i="3"/>
  <c r="H23" i="3"/>
  <c r="G23" i="3"/>
  <c r="F23" i="3"/>
  <c r="I22" i="3"/>
  <c r="H22" i="3"/>
  <c r="G22" i="3"/>
  <c r="F22" i="3"/>
  <c r="I21" i="3"/>
  <c r="H21" i="3"/>
  <c r="G21" i="3"/>
  <c r="F21" i="3"/>
  <c r="I19" i="3"/>
  <c r="H19" i="3"/>
  <c r="G19" i="3"/>
  <c r="F19" i="3"/>
  <c r="I18" i="3"/>
  <c r="H18" i="3"/>
  <c r="G18" i="3"/>
  <c r="F18" i="3"/>
  <c r="I17" i="3"/>
  <c r="H17" i="3"/>
  <c r="G17" i="3"/>
  <c r="F17" i="3"/>
  <c r="I16" i="3"/>
  <c r="H16" i="3"/>
  <c r="G16" i="3"/>
  <c r="F16" i="3"/>
  <c r="I15" i="3"/>
  <c r="H15" i="3"/>
  <c r="G15" i="3"/>
  <c r="F15" i="3"/>
  <c r="I14" i="3"/>
  <c r="H14" i="3"/>
  <c r="G14" i="3"/>
  <c r="F14" i="3"/>
  <c r="I13" i="3" l="1"/>
  <c r="H13" i="3"/>
  <c r="G13" i="3"/>
  <c r="F13" i="3"/>
  <c r="I12" i="3"/>
  <c r="H12" i="3"/>
  <c r="G12" i="3"/>
  <c r="H11" i="3"/>
  <c r="G11" i="3"/>
  <c r="I11" i="3"/>
  <c r="F11" i="3"/>
  <c r="I10" i="3"/>
  <c r="H10" i="3"/>
  <c r="G10" i="3"/>
  <c r="F10" i="3"/>
  <c r="C31" i="3"/>
  <c r="C33" i="3" s="1"/>
  <c r="H31" i="3" l="1"/>
  <c r="H33" i="3" s="1"/>
  <c r="I31" i="3"/>
  <c r="I33" i="3" s="1"/>
  <c r="F31" i="3"/>
  <c r="F33" i="3" s="1"/>
  <c r="G31" i="3"/>
  <c r="G33" i="3" s="1"/>
  <c r="D54" i="2"/>
  <c r="B54" i="2" l="1"/>
  <c r="I37" i="3" l="1"/>
  <c r="I49" i="3"/>
  <c r="H37" i="3"/>
  <c r="B71" i="2" l="1"/>
  <c r="C71" i="2" s="1"/>
  <c r="D71" i="2" s="1"/>
  <c r="E71" i="2" s="1"/>
  <c r="E52" i="2"/>
  <c r="D52" i="2"/>
  <c r="C52" i="2"/>
  <c r="B52" i="2"/>
  <c r="F67" i="2"/>
  <c r="C54" i="2" l="1"/>
  <c r="E54" i="2"/>
  <c r="B61" i="2" l="1"/>
  <c r="I51" i="3"/>
  <c r="H51" i="3"/>
  <c r="G51" i="3"/>
  <c r="F51" i="3"/>
  <c r="I50" i="3"/>
  <c r="H50" i="3"/>
  <c r="G50" i="3"/>
  <c r="F50" i="3"/>
  <c r="H49" i="3"/>
  <c r="G49" i="3"/>
  <c r="F49" i="3"/>
  <c r="E52" i="3"/>
  <c r="D52" i="3"/>
  <c r="C52" i="3"/>
  <c r="B52" i="3"/>
  <c r="G55" i="3"/>
  <c r="B40" i="3"/>
  <c r="F37" i="3"/>
  <c r="E70" i="3"/>
  <c r="D70" i="3"/>
  <c r="C70" i="3"/>
  <c r="B70" i="3"/>
  <c r="I69" i="3"/>
  <c r="H69" i="3"/>
  <c r="G69" i="3"/>
  <c r="F69" i="3"/>
  <c r="I68" i="3"/>
  <c r="H68" i="3"/>
  <c r="G68" i="3"/>
  <c r="F68" i="3"/>
  <c r="I67" i="3"/>
  <c r="H67" i="3"/>
  <c r="G67" i="3"/>
  <c r="F67" i="3"/>
  <c r="E64" i="3"/>
  <c r="D64" i="3"/>
  <c r="C64" i="3"/>
  <c r="B64" i="3"/>
  <c r="I63" i="3"/>
  <c r="H63" i="3"/>
  <c r="G63" i="3"/>
  <c r="F63" i="3"/>
  <c r="I62" i="3"/>
  <c r="H62" i="3"/>
  <c r="G62" i="3"/>
  <c r="F62" i="3"/>
  <c r="I61" i="3"/>
  <c r="H61" i="3"/>
  <c r="G61" i="3"/>
  <c r="F61" i="3"/>
  <c r="E58" i="3"/>
  <c r="D58" i="3"/>
  <c r="C58" i="3"/>
  <c r="B58" i="3"/>
  <c r="I57" i="3"/>
  <c r="H57" i="3"/>
  <c r="G57" i="3"/>
  <c r="F57" i="3"/>
  <c r="I56" i="3"/>
  <c r="H56" i="3"/>
  <c r="G56" i="3"/>
  <c r="F56" i="3"/>
  <c r="I55" i="3"/>
  <c r="H55" i="3"/>
  <c r="F55" i="3"/>
  <c r="E46" i="3"/>
  <c r="D46" i="3"/>
  <c r="C46" i="3"/>
  <c r="B46" i="3"/>
  <c r="I45" i="3"/>
  <c r="H45" i="3"/>
  <c r="G45" i="3"/>
  <c r="F45" i="3"/>
  <c r="I44" i="3"/>
  <c r="H44" i="3"/>
  <c r="G44" i="3"/>
  <c r="F44" i="3"/>
  <c r="I43" i="3"/>
  <c r="H43" i="3"/>
  <c r="G43" i="3"/>
  <c r="F43" i="3"/>
  <c r="E40" i="3"/>
  <c r="D40" i="3"/>
  <c r="C40" i="3"/>
  <c r="I39" i="3"/>
  <c r="H39" i="3"/>
  <c r="G39" i="3"/>
  <c r="F39" i="3"/>
  <c r="I38" i="3"/>
  <c r="H38" i="3"/>
  <c r="G38" i="3"/>
  <c r="F38" i="3"/>
  <c r="G37" i="3"/>
  <c r="D72" i="3" l="1"/>
  <c r="E72" i="3"/>
  <c r="C72" i="3"/>
  <c r="B72" i="3"/>
  <c r="G52" i="3"/>
  <c r="I52" i="3"/>
  <c r="H52" i="3"/>
  <c r="F52" i="3"/>
  <c r="H70" i="3"/>
  <c r="F46" i="3"/>
  <c r="F40" i="3"/>
  <c r="F58" i="3"/>
  <c r="F64" i="3"/>
  <c r="I58" i="3"/>
  <c r="I64" i="3"/>
  <c r="I46" i="3"/>
  <c r="G46" i="3"/>
  <c r="G58" i="3"/>
  <c r="G64" i="3"/>
  <c r="H46" i="3"/>
  <c r="I70" i="3"/>
  <c r="H40" i="3"/>
  <c r="G70" i="3"/>
  <c r="G40" i="3"/>
  <c r="G72" i="3" s="1"/>
  <c r="H58" i="3"/>
  <c r="H64" i="3"/>
  <c r="I40" i="3"/>
  <c r="F70" i="3"/>
  <c r="B30" i="2"/>
  <c r="B23" i="2"/>
  <c r="H72" i="3" l="1"/>
  <c r="D56" i="2" s="1"/>
  <c r="F72" i="3"/>
  <c r="I72" i="3"/>
  <c r="B56" i="2"/>
  <c r="C56" i="2"/>
  <c r="E56" i="2"/>
  <c r="B35" i="2" l="1"/>
  <c r="C23" i="2"/>
  <c r="D23" i="2"/>
  <c r="E23" i="2"/>
  <c r="B40" i="2"/>
  <c r="C61" i="2"/>
  <c r="D61" i="2"/>
  <c r="E61" i="2"/>
  <c r="C45" i="2" l="1"/>
  <c r="D45" i="2"/>
  <c r="E45" i="2"/>
  <c r="B45" i="2"/>
  <c r="B68" i="2" s="1"/>
  <c r="C40" i="2"/>
  <c r="E40" i="2"/>
  <c r="C35" i="2"/>
  <c r="E35" i="2"/>
  <c r="D40" i="2"/>
  <c r="D35" i="2"/>
  <c r="C30" i="2"/>
  <c r="D30" i="2"/>
  <c r="E30" i="2"/>
  <c r="B72" i="2" l="1"/>
  <c r="B73" i="2" l="1"/>
  <c r="B69" i="2"/>
  <c r="C63" i="2" l="1"/>
  <c r="C68" i="2" s="1"/>
  <c r="C72" i="2" l="1"/>
  <c r="C69" i="2"/>
  <c r="D63" i="2" s="1"/>
  <c r="D68" i="2" l="1"/>
  <c r="D72" i="2" s="1"/>
  <c r="C73" i="2"/>
  <c r="D73" i="2" l="1"/>
  <c r="D69" i="2"/>
  <c r="E63" i="2" s="1"/>
  <c r="E68" i="2" s="1"/>
  <c r="E69" i="2" s="1"/>
  <c r="E72" i="2" l="1"/>
  <c r="E73" i="2" s="1"/>
  <c r="F68" i="2"/>
  <c r="F69" i="2" s="1"/>
</calcChain>
</file>

<file path=xl/sharedStrings.xml><?xml version="1.0" encoding="utf-8"?>
<sst xmlns="http://schemas.openxmlformats.org/spreadsheetml/2006/main" count="123" uniqueCount="106">
  <si>
    <t>ØK.PLAN 2026</t>
  </si>
  <si>
    <t>FRIE INNTEKTER (SKATT OG RAMMETILSKOT)</t>
  </si>
  <si>
    <t>FRIE INNTEKTER ETTER ENDRING</t>
  </si>
  <si>
    <t>VAR. FORSLAG KOMMUNEDIREKTØR</t>
  </si>
  <si>
    <t>ENDRING RENTER/AVDRAG ETTER ENDRING INVESTERING</t>
  </si>
  <si>
    <t>DIFFERANSE</t>
  </si>
  <si>
    <t>Investeringer</t>
  </si>
  <si>
    <t>Drift</t>
  </si>
  <si>
    <t>SUM</t>
  </si>
  <si>
    <t>Avskrivingstid regulerast av budsjett- og regnskapsforskriftens § 3-4</t>
  </si>
  <si>
    <t>SUM ENDRING</t>
  </si>
  <si>
    <t>Følgande forutsetningar ligg til grunn for berekning av renter og avdrag:</t>
  </si>
  <si>
    <t>2. Det forutsettes at investeringa blir finansiert med låneopptak og momskompensasjon</t>
  </si>
  <si>
    <t>3. Det forutsettes at låneopptak blir gjort midt i året. Det vil sei at det budsjetteres med rente for eit halvt år i det året investeringa blir gjennomført.</t>
  </si>
  <si>
    <t>4. Det forutsettes at avdrag på lån blir betalt i slutten av året etter at investeringa er gjennomført</t>
  </si>
  <si>
    <t xml:space="preserve">ANDRE ENDRINGER </t>
  </si>
  <si>
    <t>SUM ANDRE ENDRINGER</t>
  </si>
  <si>
    <t>Driftsmessig konsekvens (renter og avdrag) blir berekna automatisk ut frå investeringsbeløpa som leggast inn.</t>
  </si>
  <si>
    <t>Forslag til endringar leggast inn i dei gule felta. I kolonne A legges det inn tekst. I kolonne B til E legges det inn beløp (beløp inkl MVA).</t>
  </si>
  <si>
    <t>Det er forskjellig avskivingstid på ulike typer anleggsmiddel. Foreslått endring må derfor legges inn i riktig gruppe.</t>
  </si>
  <si>
    <t>Kommentar</t>
  </si>
  <si>
    <t>Forslag til endringar leggast inn i dei gule felta. I kolonne A legges det inn tekst. I kolonne B til E legges det inn beløp. I kolonne F legges kommentar.</t>
  </si>
  <si>
    <t>Dato:</t>
  </si>
  <si>
    <t>Endringsforslag frå:</t>
  </si>
  <si>
    <t>KOMMENTAR</t>
  </si>
  <si>
    <t>Endre sats for eigedomsskatt. Oppdater gule celler:</t>
  </si>
  <si>
    <t>ØK.PLAN 2027</t>
  </si>
  <si>
    <t>ORGANISASJON OG UTVIKLING. FORSLAG KOMMUNEDIREKTØR</t>
  </si>
  <si>
    <t>ORGANISASJON OG UTVIKLING ETTER ENDRING</t>
  </si>
  <si>
    <t>KULTUR OG OPPVEKST. FORSLAG KOMMUNEDIREKTØR</t>
  </si>
  <si>
    <t>KULTUR OG OPPVEKST ETTER ENDRING</t>
  </si>
  <si>
    <t>HELSE OG MESTRING. FORSLAG KOMMUNEDIREKTØR</t>
  </si>
  <si>
    <t>HELSE OG MESTRING ETTER ENDRING</t>
  </si>
  <si>
    <t>SAMFUNN ETTER ENDRING</t>
  </si>
  <si>
    <t>IKT-utstyr, kontormaskiner, ol. Inkl MVA ( 5 år)</t>
  </si>
  <si>
    <t>Større nyttekjøretøy ol. Inkl MVA (20 år)</t>
  </si>
  <si>
    <t>Budsjettrente</t>
  </si>
  <si>
    <t>Merverdiavgift:</t>
  </si>
  <si>
    <t>Investeringer kostnadsføres inkludert merverdiavgift (utenom VAR-området. Dette er avgiftspliktig virksomhet)</t>
  </si>
  <si>
    <t>Finansiering er som hovedregel momskompensasjon og bruk av lån</t>
  </si>
  <si>
    <t>Bygningar, vegar ol.  Inkl MVA (40 år)</t>
  </si>
  <si>
    <t>VAR: Dette er avgiftspliktig virksomhet som gir rett til fradrag for merverdiavgift etter ordinære regler. VAR investeringer kostnadsføres eklsusiv MVA.</t>
  </si>
  <si>
    <t>Institusjonslokaler ol. Inkl MVA (50 år)</t>
  </si>
  <si>
    <t>Inventar, utstyr, ol. Inkl MVA (10 år)</t>
  </si>
  <si>
    <t>Investeringer utan momskompensasjon (40 år)</t>
  </si>
  <si>
    <t>Kjøp av eigedom: Omsetning av fast eigedom er unntatt merverdiavgift. Så dersom vi kjøper ein eigedom er den utan MVA. Dersom vi derimot er byggherre</t>
  </si>
  <si>
    <t>og kjøper varer og tenester frå endtreprenør så vil kommunen oppnå kompensasjon for merverdiavgift (dersom kompensasjonsberettiget virksomhet)</t>
  </si>
  <si>
    <t>AKKUMULERT</t>
  </si>
  <si>
    <t>FORSLAG TIL ENDRING I ØKONOMIPLAN 2025-2028</t>
  </si>
  <si>
    <t>BUDSJETT 2025</t>
  </si>
  <si>
    <t>ØK.PLAN 2028</t>
  </si>
  <si>
    <t>EIGEDOMSSKATT</t>
  </si>
  <si>
    <t>Legg inn promille i tabell</t>
  </si>
  <si>
    <t xml:space="preserve">Satsen kan maks. aukast med 1 promille kvart år. </t>
  </si>
  <si>
    <t>Fra ark "investering"</t>
  </si>
  <si>
    <t>BRUK AV DISP.FOND I FORSLAG KOMMUNEDIREKTØR</t>
  </si>
  <si>
    <t>BRUK AV DISP.FOND ETTER ENDRINGSFORSLAG</t>
  </si>
  <si>
    <t>POLITISK STTYRING. FORSLAG KOMMUNEDIREKTØR</t>
  </si>
  <si>
    <t>POLISITSK STYRING ETTER ENDRING</t>
  </si>
  <si>
    <t>SAMFUNN (TEKNISK SEKTOR). FORSLAG KOMMUNEDIREKTØR</t>
  </si>
  <si>
    <t>(Positivt forteikn betyr bruk av disposisjonsfond. Negativt forteikn betyr avsetning til disposisjonsfond)</t>
  </si>
  <si>
    <t>ANDRE STATSTILSKOT, PREMIEAVVIK PENSJON, FINANSPOSTER</t>
  </si>
  <si>
    <t>BUDSJETT OG ØKONOMIPLAN</t>
  </si>
  <si>
    <t>DISPOSISJONSFOND</t>
  </si>
  <si>
    <t>DISPOSISJONSFOND (estimat 2024: 86.443.610kr)</t>
  </si>
  <si>
    <t>DISPOSISJONSFOND ETTER ENDRINGSFORSLAG</t>
  </si>
  <si>
    <t>FORSLAG TIL ENDRING I INVESTERINGSTILTAK 2025-2028</t>
  </si>
  <si>
    <t xml:space="preserve">1. Budsjettrente: 4,53% i 2025, 3,73% i 2026, 3,32% i 2027 og 3,32% i 2028 </t>
  </si>
  <si>
    <t>ENDRING AVKASTNING FRA FONDSPLASSERINGER</t>
  </si>
  <si>
    <t>Påvirkes av endring disp.fond</t>
  </si>
  <si>
    <t>Excelfila inneheld to ark, "Økonomiplan drift" og "Økonomiplan investering".</t>
  </si>
  <si>
    <t>Auke i kostnader legges inn med positivt forteikn, medan auke i inntekter eller innsparing legges inn med negativt forteikn.</t>
  </si>
  <si>
    <t>Rad 54: Forslag til endring i promille for eingedomsskatt legges inn i i dei gule felta på rad 54.</t>
  </si>
  <si>
    <t xml:space="preserve">Rad 63: I øk.plan er det forutsatt at bruk av disp.fond vil medføre sal av fondsinvesteringar. Auke i bruk av fond vil derfor medføre redusert avkastning. </t>
  </si>
  <si>
    <t>Rad 67: Bruk av disposisjonsfond i budsjettforslag frå kommunedirektør</t>
  </si>
  <si>
    <t>Rad 68: Bruk av disposisjonsfond i endringsforslag</t>
  </si>
  <si>
    <t>Rad 71: Saldo på disposisjonsfond i budsjettforslag frå kommunedirektør</t>
  </si>
  <si>
    <t xml:space="preserve">Rad 72: Saldo på disposisjonsfond i endringsforslag. </t>
  </si>
  <si>
    <t>Rad 56: Forslag til endringar i investering legges inn i arket "Investering". Resultateffekten av endringane (renter og avdrag) kjem inn på rad 56.</t>
  </si>
  <si>
    <t>IKT. Felles IKT investeringar</t>
  </si>
  <si>
    <t>Kyrkje. Rammeløyving investeringar</t>
  </si>
  <si>
    <t>Eigedom. Rammeløyve mindre investering bygg</t>
  </si>
  <si>
    <t>Bilar</t>
  </si>
  <si>
    <t>Tiltak for å redusere særleg farleg skuleveg</t>
  </si>
  <si>
    <t>Tenestesenter (helsehus)</t>
  </si>
  <si>
    <t>Barnehage</t>
  </si>
  <si>
    <t>Barne og avlastningsbustad (forprosjekt)</t>
  </si>
  <si>
    <t>Eigedom. Utfasing av lyskilder etter påbud</t>
  </si>
  <si>
    <t>Oppgradering i Stadsnesvegen 19 A (Nordeabygget)</t>
  </si>
  <si>
    <t>Utstyr til storkjøkken på Sulatunet</t>
  </si>
  <si>
    <t>Utstyr omsorgsdrift Sulatunet</t>
  </si>
  <si>
    <t xml:space="preserve">Kostnad ifbm sal av Fiskerstrand skule </t>
  </si>
  <si>
    <t xml:space="preserve">Kostnad ifbm sal av Måseide skule </t>
  </si>
  <si>
    <t>Salen Pumpestasjon</t>
  </si>
  <si>
    <t>Rammeløyviing vatn</t>
  </si>
  <si>
    <t>Rammeløyviing avløp</t>
  </si>
  <si>
    <t>Nytt avløpsrenseanlegg</t>
  </si>
  <si>
    <t>ROP leiligheter herunder nødleilighet (forposjekt.)</t>
  </si>
  <si>
    <t>Vasset Borettslag, totalramme (skal selgast)</t>
  </si>
  <si>
    <t xml:space="preserve">Sula Sokn - felles minnesmerke til navna minnelund </t>
  </si>
  <si>
    <t>Investeringar i budsjettforslag</t>
  </si>
  <si>
    <t>Den første tabellen viser investeringar som er foreslått i komunedirektøren sitt budsjettforslag. Den andre tabellen er tom. Her kan det legges inn forslag til nye investeringar</t>
  </si>
  <si>
    <t>Forslag til nye investeringar</t>
  </si>
  <si>
    <t>SUM etter endringar</t>
  </si>
  <si>
    <t>SUM i kommunedirektør sitt budsjettforslag</t>
  </si>
  <si>
    <t>Differanse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</si>
</sst>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_ ;_ * \-#,##0_ ;_ * &quot;-&quot;??_ ;_ @_ "/>
    <numFmt numFmtId="165" formatCode="0.0\ %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3" fontId="0" fillId="0" borderId="0" xfId="0" applyNumberFormat="1"/>
    <xf numFmtId="0" fontId="5" fillId="0" borderId="1" xfId="0" applyFont="1" applyBorder="1" applyAlignment="1">
      <alignment horizontal="left"/>
    </xf>
    <xf numFmtId="165" fontId="0" fillId="0" borderId="1" xfId="2" applyNumberFormat="1" applyFont="1" applyBorder="1"/>
    <xf numFmtId="0" fontId="5" fillId="5" borderId="1" xfId="0" applyFont="1" applyFill="1" applyBorder="1" applyAlignment="1">
      <alignment horizontal="left"/>
    </xf>
    <xf numFmtId="164" fontId="2" fillId="5" borderId="1" xfId="1" applyNumberFormat="1" applyFont="1" applyFill="1" applyBorder="1"/>
    <xf numFmtId="0" fontId="5" fillId="2" borderId="1" xfId="3" applyFont="1" applyFill="1" applyBorder="1"/>
    <xf numFmtId="3" fontId="0" fillId="2" borderId="1" xfId="1" applyNumberFormat="1" applyFont="1" applyFill="1" applyBorder="1"/>
    <xf numFmtId="3" fontId="0" fillId="2" borderId="1" xfId="0" applyNumberFormat="1" applyFill="1" applyBorder="1"/>
    <xf numFmtId="0" fontId="4" fillId="2" borderId="1" xfId="3" applyFont="1" applyFill="1" applyBorder="1"/>
    <xf numFmtId="0" fontId="2" fillId="2" borderId="1" xfId="0" applyFont="1" applyFill="1" applyBorder="1"/>
    <xf numFmtId="0" fontId="2" fillId="6" borderId="1" xfId="0" applyFont="1" applyFill="1" applyBorder="1"/>
    <xf numFmtId="3" fontId="2" fillId="2" borderId="1" xfId="0" applyNumberFormat="1" applyFont="1" applyFill="1" applyBorder="1"/>
    <xf numFmtId="3" fontId="2" fillId="6" borderId="1" xfId="0" applyNumberFormat="1" applyFont="1" applyFill="1" applyBorder="1"/>
    <xf numFmtId="3" fontId="2" fillId="2" borderId="1" xfId="1" applyNumberFormat="1" applyFont="1" applyFill="1" applyBorder="1"/>
    <xf numFmtId="0" fontId="2" fillId="2" borderId="14" xfId="0" applyFont="1" applyFill="1" applyBorder="1"/>
    <xf numFmtId="0" fontId="3" fillId="2" borderId="2" xfId="0" applyFont="1" applyFill="1" applyBorder="1"/>
    <xf numFmtId="0" fontId="3" fillId="2" borderId="15" xfId="0" applyFont="1" applyFill="1" applyBorder="1"/>
    <xf numFmtId="0" fontId="3" fillId="3" borderId="17" xfId="0" applyFont="1" applyFill="1" applyBorder="1"/>
    <xf numFmtId="0" fontId="3" fillId="3" borderId="19" xfId="0" applyFont="1" applyFill="1" applyBorder="1"/>
    <xf numFmtId="0" fontId="3" fillId="3" borderId="20" xfId="0" applyFont="1" applyFill="1" applyBorder="1"/>
    <xf numFmtId="0" fontId="2" fillId="7" borderId="1" xfId="0" applyFont="1" applyFill="1" applyBorder="1"/>
    <xf numFmtId="3" fontId="2" fillId="7" borderId="1" xfId="0" applyNumberFormat="1" applyFont="1" applyFill="1" applyBorder="1"/>
    <xf numFmtId="3" fontId="2" fillId="2" borderId="1" xfId="0" applyNumberFormat="1" applyFont="1" applyFill="1" applyBorder="1" applyAlignment="1">
      <alignment horizontal="right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9" xfId="0" applyFill="1" applyBorder="1"/>
    <xf numFmtId="0" fontId="0" fillId="2" borderId="0" xfId="0" applyFill="1"/>
    <xf numFmtId="0" fontId="0" fillId="2" borderId="1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0" borderId="0" xfId="0" applyFont="1"/>
    <xf numFmtId="0" fontId="2" fillId="2" borderId="21" xfId="0" applyFont="1" applyFill="1" applyBorder="1"/>
    <xf numFmtId="0" fontId="0" fillId="3" borderId="0" xfId="0" applyFill="1"/>
    <xf numFmtId="3" fontId="0" fillId="3" borderId="0" xfId="0" applyNumberFormat="1" applyFill="1"/>
    <xf numFmtId="0" fontId="6" fillId="2" borderId="11" xfId="0" applyFont="1" applyFill="1" applyBorder="1"/>
    <xf numFmtId="0" fontId="0" fillId="2" borderId="12" xfId="0" applyFill="1" applyBorder="1"/>
    <xf numFmtId="0" fontId="0" fillId="2" borderId="13" xfId="0" applyFill="1" applyBorder="1"/>
    <xf numFmtId="3" fontId="0" fillId="7" borderId="1" xfId="0" applyNumberFormat="1" applyFill="1" applyBorder="1"/>
    <xf numFmtId="0" fontId="2" fillId="2" borderId="11" xfId="0" applyFont="1" applyFill="1" applyBorder="1"/>
    <xf numFmtId="0" fontId="3" fillId="2" borderId="1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0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4" fillId="4" borderId="1" xfId="3" applyFont="1" applyFill="1" applyBorder="1" applyProtection="1">
      <protection locked="0"/>
    </xf>
    <xf numFmtId="3" fontId="1" fillId="4" borderId="1" xfId="1" applyNumberFormat="1" applyFont="1" applyFill="1" applyBorder="1" applyProtection="1">
      <protection locked="0"/>
    </xf>
    <xf numFmtId="3" fontId="0" fillId="4" borderId="1" xfId="1" applyNumberFormat="1" applyFont="1" applyFill="1" applyBorder="1" applyProtection="1">
      <protection locked="0"/>
    </xf>
    <xf numFmtId="0" fontId="0" fillId="2" borderId="11" xfId="0" applyFill="1" applyBorder="1"/>
    <xf numFmtId="0" fontId="0" fillId="0" borderId="1" xfId="0" applyBorder="1"/>
    <xf numFmtId="3" fontId="0" fillId="0" borderId="1" xfId="0" applyNumberFormat="1" applyBorder="1"/>
    <xf numFmtId="0" fontId="0" fillId="2" borderId="22" xfId="0" applyFill="1" applyBorder="1" applyAlignment="1">
      <alignment horizontal="center"/>
    </xf>
    <xf numFmtId="166" fontId="0" fillId="4" borderId="21" xfId="0" applyNumberFormat="1" applyFill="1" applyBorder="1" applyAlignment="1" applyProtection="1">
      <alignment horizontal="center" vertical="center"/>
      <protection locked="0"/>
    </xf>
    <xf numFmtId="14" fontId="0" fillId="4" borderId="21" xfId="0" applyNumberFormat="1" applyFill="1" applyBorder="1" applyProtection="1">
      <protection locked="0"/>
    </xf>
    <xf numFmtId="0" fontId="2" fillId="2" borderId="21" xfId="0" applyFont="1" applyFill="1" applyBorder="1" applyAlignment="1">
      <alignment wrapText="1"/>
    </xf>
    <xf numFmtId="0" fontId="0" fillId="4" borderId="21" xfId="0" applyFill="1" applyBorder="1" applyAlignment="1" applyProtection="1">
      <alignment wrapText="1"/>
      <protection locked="0"/>
    </xf>
    <xf numFmtId="0" fontId="6" fillId="2" borderId="0" xfId="0" applyFont="1" applyFill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2" fillId="2" borderId="0" xfId="0" applyFont="1" applyFill="1"/>
    <xf numFmtId="0" fontId="0" fillId="4" borderId="1" xfId="0" applyFill="1" applyBorder="1" applyProtection="1">
      <protection locked="0"/>
    </xf>
    <xf numFmtId="3" fontId="0" fillId="4" borderId="1" xfId="0" applyNumberFormat="1" applyFill="1" applyBorder="1" applyProtection="1">
      <protection locked="0"/>
    </xf>
    <xf numFmtId="0" fontId="0" fillId="2" borderId="2" xfId="0" applyFill="1" applyBorder="1"/>
    <xf numFmtId="0" fontId="0" fillId="3" borderId="16" xfId="0" applyFill="1" applyBorder="1"/>
    <xf numFmtId="0" fontId="0" fillId="3" borderId="18" xfId="0" applyFill="1" applyBorder="1"/>
    <xf numFmtId="0" fontId="2" fillId="2" borderId="2" xfId="0" applyFont="1" applyFill="1" applyBorder="1"/>
    <xf numFmtId="0" fontId="7" fillId="2" borderId="15" xfId="0" applyFont="1" applyFill="1" applyBorder="1"/>
    <xf numFmtId="0" fontId="0" fillId="3" borderId="1" xfId="0" applyFill="1" applyBorder="1"/>
    <xf numFmtId="10" fontId="0" fillId="3" borderId="1" xfId="0" applyNumberFormat="1" applyFill="1" applyBorder="1"/>
    <xf numFmtId="164" fontId="2" fillId="0" borderId="1" xfId="1" applyNumberFormat="1" applyFont="1" applyFill="1" applyBorder="1"/>
    <xf numFmtId="0" fontId="2" fillId="3" borderId="0" xfId="0" applyFont="1" applyFill="1"/>
    <xf numFmtId="0" fontId="2" fillId="8" borderId="1" xfId="0" applyFont="1" applyFill="1" applyBorder="1"/>
    <xf numFmtId="3" fontId="2" fillId="8" borderId="1" xfId="0" applyNumberFormat="1" applyFont="1" applyFill="1" applyBorder="1"/>
    <xf numFmtId="0" fontId="8" fillId="3" borderId="0" xfId="0" applyFont="1" applyFill="1"/>
    <xf numFmtId="3" fontId="2" fillId="6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</cellXfs>
  <cellStyles count="4">
    <cellStyle name="Komma" xfId="1" builtinId="3"/>
    <cellStyle name="Normal" xfId="0" builtinId="0"/>
    <cellStyle name="Normal 2" xfId="3" xr:uid="{EA5E1447-D7DD-455D-AEAA-5458A2DDA639}"/>
    <cellStyle name="Prosent" xfId="2" builtinId="5"/>
  </cellStyles>
  <dxfs count="0"/>
  <tableStyles count="0" defaultTableStyle="TableStyleMedium2" defaultPivotStyle="PivotStyleLight16"/>
  <colors>
    <mruColors>
      <color rgb="FFF1EA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758824</xdr:colOff>
      <xdr:row>4</xdr:row>
      <xdr:rowOff>106259</xdr:rowOff>
    </xdr:from>
    <xdr:to>
      <xdr:col>18</xdr:col>
      <xdr:colOff>32622</xdr:colOff>
      <xdr:row>18</xdr:row>
      <xdr:rowOff>57149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1B171CF4-C296-41D3-863F-6B471D782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9549" y="725384"/>
          <a:ext cx="5557123" cy="2627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9F87E-5510-4072-A9BB-78AB83CC7A37}">
  <sheetPr>
    <pageSetUpPr fitToPage="1"/>
  </sheetPr>
  <dimension ref="A1:BA264"/>
  <sheetViews>
    <sheetView tabSelected="1" zoomScale="110" zoomScaleNormal="110" workbookViewId="0">
      <selection activeCell="K55" sqref="K55"/>
    </sheetView>
  </sheetViews>
  <sheetFormatPr baseColWidth="10" defaultRowHeight="15" x14ac:dyDescent="0.25"/>
  <cols>
    <col min="1" max="1" width="54.28515625" bestFit="1" customWidth="1"/>
    <col min="2" max="2" width="14.5703125" customWidth="1"/>
    <col min="3" max="4" width="14.140625" bestFit="1" customWidth="1"/>
    <col min="5" max="5" width="14.5703125" customWidth="1"/>
    <col min="6" max="6" width="26.85546875" customWidth="1"/>
    <col min="7" max="7" width="4.28515625" style="35" customWidth="1"/>
    <col min="8" max="8" width="11.42578125" style="35"/>
    <col min="9" max="9" width="11.42578125" style="35" customWidth="1"/>
    <col min="10" max="10" width="11.42578125" style="35"/>
    <col min="11" max="11" width="11.7109375" style="35" customWidth="1"/>
    <col min="12" max="53" width="11.42578125" style="35"/>
  </cols>
  <sheetData>
    <row r="1" spans="1:8" ht="21.75" thickBot="1" x14ac:dyDescent="0.4">
      <c r="A1" s="37" t="s">
        <v>48</v>
      </c>
      <c r="B1" s="38"/>
      <c r="C1" s="38"/>
      <c r="D1" s="38"/>
      <c r="E1" s="38"/>
      <c r="F1" s="39"/>
    </row>
    <row r="2" spans="1:8" s="35" customFormat="1" ht="15.75" thickBot="1" x14ac:dyDescent="0.3"/>
    <row r="3" spans="1:8" ht="15" customHeight="1" x14ac:dyDescent="0.25">
      <c r="A3" s="24" t="s">
        <v>70</v>
      </c>
      <c r="B3" s="25"/>
      <c r="C3" s="25"/>
      <c r="D3" s="25"/>
      <c r="E3" s="25"/>
      <c r="F3" s="26"/>
    </row>
    <row r="4" spans="1:8" x14ac:dyDescent="0.25">
      <c r="A4" s="27" t="s">
        <v>21</v>
      </c>
      <c r="B4" s="28"/>
      <c r="C4" s="28"/>
      <c r="D4" s="28"/>
      <c r="E4" s="28"/>
      <c r="F4" s="29"/>
    </row>
    <row r="5" spans="1:8" x14ac:dyDescent="0.25">
      <c r="A5" s="27" t="s">
        <v>71</v>
      </c>
      <c r="B5" s="28"/>
      <c r="C5" s="28"/>
      <c r="D5" s="28"/>
      <c r="E5" s="28"/>
      <c r="F5" s="29"/>
    </row>
    <row r="6" spans="1:8" x14ac:dyDescent="0.25">
      <c r="A6" s="27" t="s">
        <v>72</v>
      </c>
      <c r="B6" s="28"/>
      <c r="C6" s="28"/>
      <c r="D6" s="28"/>
      <c r="E6" s="28"/>
      <c r="F6" s="29"/>
    </row>
    <row r="7" spans="1:8" x14ac:dyDescent="0.25">
      <c r="A7" s="27" t="s">
        <v>78</v>
      </c>
      <c r="B7" s="28"/>
      <c r="C7" s="28"/>
      <c r="D7" s="28"/>
      <c r="E7" s="28"/>
      <c r="F7" s="29"/>
    </row>
    <row r="8" spans="1:8" x14ac:dyDescent="0.25">
      <c r="A8" s="27" t="s">
        <v>73</v>
      </c>
      <c r="B8" s="28"/>
      <c r="C8" s="28"/>
      <c r="D8" s="28"/>
      <c r="E8" s="28"/>
      <c r="F8" s="29"/>
    </row>
    <row r="9" spans="1:8" x14ac:dyDescent="0.25">
      <c r="A9" s="27" t="s">
        <v>74</v>
      </c>
      <c r="B9" s="28"/>
      <c r="C9" s="28"/>
      <c r="D9" s="28"/>
      <c r="E9" s="28"/>
      <c r="F9" s="29"/>
      <c r="H9" s="77"/>
    </row>
    <row r="10" spans="1:8" x14ac:dyDescent="0.25">
      <c r="A10" s="27" t="s">
        <v>75</v>
      </c>
      <c r="B10" s="28"/>
      <c r="C10" s="28"/>
      <c r="D10" s="28"/>
      <c r="E10" s="28"/>
      <c r="F10" s="29"/>
    </row>
    <row r="11" spans="1:8" x14ac:dyDescent="0.25">
      <c r="A11" s="27" t="s">
        <v>76</v>
      </c>
      <c r="B11" s="28"/>
      <c r="C11" s="28"/>
      <c r="D11" s="28"/>
      <c r="E11" s="28"/>
      <c r="F11" s="29"/>
    </row>
    <row r="12" spans="1:8" ht="15.75" thickBot="1" x14ac:dyDescent="0.3">
      <c r="A12" s="30" t="s">
        <v>77</v>
      </c>
      <c r="B12" s="31"/>
      <c r="C12" s="31"/>
      <c r="D12" s="31"/>
      <c r="E12" s="31"/>
      <c r="F12" s="32"/>
    </row>
    <row r="13" spans="1:8" s="35" customFormat="1" x14ac:dyDescent="0.25"/>
    <row r="14" spans="1:8" s="35" customFormat="1" ht="15.75" thickBot="1" x14ac:dyDescent="0.3"/>
    <row r="15" spans="1:8" ht="15" customHeight="1" thickBot="1" x14ac:dyDescent="0.3">
      <c r="A15" s="57" t="s">
        <v>23</v>
      </c>
      <c r="B15" s="33"/>
      <c r="C15" s="34" t="s">
        <v>22</v>
      </c>
      <c r="D15" s="35"/>
      <c r="E15" s="35"/>
      <c r="F15" s="35"/>
    </row>
    <row r="16" spans="1:8" ht="15.75" thickBot="1" x14ac:dyDescent="0.3">
      <c r="A16" s="58"/>
      <c r="B16" s="35"/>
      <c r="C16" s="56"/>
      <c r="D16" s="35"/>
      <c r="E16" s="35"/>
      <c r="F16" s="35"/>
    </row>
    <row r="17" spans="1:6" s="35" customFormat="1" x14ac:dyDescent="0.25"/>
    <row r="18" spans="1:6" s="35" customFormat="1" x14ac:dyDescent="0.25"/>
    <row r="19" spans="1:6" x14ac:dyDescent="0.25">
      <c r="A19" s="4" t="s">
        <v>62</v>
      </c>
      <c r="B19" s="5" t="s">
        <v>49</v>
      </c>
      <c r="C19" s="5" t="s">
        <v>0</v>
      </c>
      <c r="D19" s="5" t="s">
        <v>26</v>
      </c>
      <c r="E19" s="5" t="s">
        <v>50</v>
      </c>
      <c r="F19" s="5" t="s">
        <v>24</v>
      </c>
    </row>
    <row r="20" spans="1:6" x14ac:dyDescent="0.25">
      <c r="A20" s="2"/>
      <c r="B20" s="3"/>
      <c r="C20" s="3"/>
      <c r="D20" s="3"/>
      <c r="E20" s="3"/>
      <c r="F20" s="3"/>
    </row>
    <row r="21" spans="1:6" x14ac:dyDescent="0.25">
      <c r="A21" s="9" t="s">
        <v>1</v>
      </c>
      <c r="B21" s="7">
        <v>-750500000</v>
      </c>
      <c r="C21" s="7">
        <v>-772600000</v>
      </c>
      <c r="D21" s="7">
        <v>-775600000</v>
      </c>
      <c r="E21" s="7">
        <v>-778600000</v>
      </c>
      <c r="F21" s="7"/>
    </row>
    <row r="22" spans="1:6" x14ac:dyDescent="0.25">
      <c r="A22" s="48"/>
      <c r="B22" s="49"/>
      <c r="C22" s="49"/>
      <c r="D22" s="49"/>
      <c r="E22" s="49"/>
      <c r="F22" s="50"/>
    </row>
    <row r="23" spans="1:6" x14ac:dyDescent="0.25">
      <c r="A23" s="6" t="s">
        <v>2</v>
      </c>
      <c r="B23" s="14">
        <f>SUM(B21:B22)</f>
        <v>-750500000</v>
      </c>
      <c r="C23" s="14">
        <f>SUM(C21:C22)</f>
        <v>-772600000</v>
      </c>
      <c r="D23" s="14">
        <f>SUM(D21:D22)</f>
        <v>-775600000</v>
      </c>
      <c r="E23" s="14">
        <f>SUM(E21:E22)</f>
        <v>-778600000</v>
      </c>
      <c r="F23" s="14"/>
    </row>
    <row r="24" spans="1:6" s="35" customFormat="1" x14ac:dyDescent="0.25">
      <c r="B24" s="36"/>
      <c r="C24" s="36"/>
      <c r="D24" s="36"/>
      <c r="E24" s="36"/>
      <c r="F24" s="36"/>
    </row>
    <row r="25" spans="1:6" x14ac:dyDescent="0.25">
      <c r="A25" s="9" t="s">
        <v>61</v>
      </c>
      <c r="B25" s="7">
        <v>39432682</v>
      </c>
      <c r="C25" s="7">
        <f>57640594-800000</f>
        <v>56840594</v>
      </c>
      <c r="D25" s="7">
        <f>68065952-1600000</f>
        <v>66465952</v>
      </c>
      <c r="E25" s="7">
        <f>75251090-2800000</f>
        <v>72451090</v>
      </c>
      <c r="F25" s="7"/>
    </row>
    <row r="26" spans="1:6" s="35" customFormat="1" x14ac:dyDescent="0.25">
      <c r="B26" s="36"/>
      <c r="C26" s="36"/>
      <c r="D26" s="36"/>
      <c r="E26" s="36"/>
      <c r="F26" s="36"/>
    </row>
    <row r="27" spans="1:6" x14ac:dyDescent="0.25">
      <c r="A27" s="9" t="s">
        <v>27</v>
      </c>
      <c r="B27" s="8">
        <v>111926724</v>
      </c>
      <c r="C27" s="8">
        <v>111626724</v>
      </c>
      <c r="D27" s="8">
        <v>111626724</v>
      </c>
      <c r="E27" s="8">
        <v>111626724</v>
      </c>
      <c r="F27" s="8"/>
    </row>
    <row r="28" spans="1:6" x14ac:dyDescent="0.25">
      <c r="A28" s="48"/>
      <c r="B28" s="49"/>
      <c r="C28" s="49"/>
      <c r="D28" s="49"/>
      <c r="E28" s="49"/>
      <c r="F28" s="49"/>
    </row>
    <row r="29" spans="1:6" x14ac:dyDescent="0.25">
      <c r="A29" s="48"/>
      <c r="B29" s="49"/>
      <c r="C29" s="49"/>
      <c r="D29" s="49"/>
      <c r="E29" s="49"/>
      <c r="F29" s="49"/>
    </row>
    <row r="30" spans="1:6" x14ac:dyDescent="0.25">
      <c r="A30" s="6" t="s">
        <v>28</v>
      </c>
      <c r="B30" s="12">
        <f>SUM(B27:B29)</f>
        <v>111926724</v>
      </c>
      <c r="C30" s="12">
        <f>SUM(C27:C29)</f>
        <v>111626724</v>
      </c>
      <c r="D30" s="12">
        <f>SUM(D27:D29)</f>
        <v>111626724</v>
      </c>
      <c r="E30" s="12">
        <f>SUM(E27:E29)</f>
        <v>111626724</v>
      </c>
      <c r="F30" s="12"/>
    </row>
    <row r="31" spans="1:6" x14ac:dyDescent="0.25">
      <c r="B31" s="1"/>
      <c r="C31" s="1"/>
      <c r="D31" s="1"/>
      <c r="E31" s="1"/>
      <c r="F31" s="1"/>
    </row>
    <row r="32" spans="1:6" x14ac:dyDescent="0.25">
      <c r="A32" s="9" t="s">
        <v>29</v>
      </c>
      <c r="B32" s="8">
        <v>342372703</v>
      </c>
      <c r="C32" s="8">
        <v>342372703</v>
      </c>
      <c r="D32" s="8">
        <v>342372703</v>
      </c>
      <c r="E32" s="8">
        <v>342372703</v>
      </c>
      <c r="F32" s="8"/>
    </row>
    <row r="33" spans="1:6" x14ac:dyDescent="0.25">
      <c r="A33" s="48"/>
      <c r="B33" s="49"/>
      <c r="C33" s="49"/>
      <c r="D33" s="49"/>
      <c r="E33" s="49"/>
      <c r="F33" s="49"/>
    </row>
    <row r="34" spans="1:6" x14ac:dyDescent="0.25">
      <c r="A34" s="48"/>
      <c r="B34" s="49"/>
      <c r="C34" s="49"/>
      <c r="D34" s="49"/>
      <c r="E34" s="49"/>
      <c r="F34" s="49"/>
    </row>
    <row r="35" spans="1:6" x14ac:dyDescent="0.25">
      <c r="A35" s="6" t="s">
        <v>30</v>
      </c>
      <c r="B35" s="12">
        <f>SUM(B32:B34)</f>
        <v>342372703</v>
      </c>
      <c r="C35" s="12">
        <f>SUM(C32:C34)</f>
        <v>342372703</v>
      </c>
      <c r="D35" s="12">
        <f>SUM(D32:D34)</f>
        <v>342372703</v>
      </c>
      <c r="E35" s="12">
        <f>SUM(E32:E34)</f>
        <v>342372703</v>
      </c>
      <c r="F35" s="12"/>
    </row>
    <row r="36" spans="1:6" s="35" customFormat="1" x14ac:dyDescent="0.25">
      <c r="B36" s="36"/>
      <c r="C36" s="36"/>
      <c r="D36" s="36"/>
      <c r="E36" s="36"/>
      <c r="F36" s="36"/>
    </row>
    <row r="37" spans="1:6" x14ac:dyDescent="0.25">
      <c r="A37" s="9" t="s">
        <v>31</v>
      </c>
      <c r="B37" s="8">
        <v>288903888</v>
      </c>
      <c r="C37" s="8">
        <v>291903888</v>
      </c>
      <c r="D37" s="8">
        <v>294903888</v>
      </c>
      <c r="E37" s="8">
        <v>297903888</v>
      </c>
      <c r="F37" s="8"/>
    </row>
    <row r="38" spans="1:6" x14ac:dyDescent="0.25">
      <c r="A38" s="48"/>
      <c r="B38" s="49"/>
      <c r="C38" s="49"/>
      <c r="D38" s="49"/>
      <c r="E38" s="49"/>
      <c r="F38" s="49"/>
    </row>
    <row r="39" spans="1:6" x14ac:dyDescent="0.25">
      <c r="A39" s="48"/>
      <c r="B39" s="49"/>
      <c r="C39" s="49"/>
      <c r="D39" s="49"/>
      <c r="E39" s="49"/>
      <c r="F39" s="49"/>
    </row>
    <row r="40" spans="1:6" x14ac:dyDescent="0.25">
      <c r="A40" s="6" t="s">
        <v>32</v>
      </c>
      <c r="B40" s="12">
        <f>SUM(B37:B39)</f>
        <v>288903888</v>
      </c>
      <c r="C40" s="12">
        <f>SUM(C37:C39)</f>
        <v>291903888</v>
      </c>
      <c r="D40" s="12">
        <f>SUM(D37:D39)</f>
        <v>294903888</v>
      </c>
      <c r="E40" s="12">
        <f>SUM(E37:E39)</f>
        <v>297903888</v>
      </c>
      <c r="F40" s="12"/>
    </row>
    <row r="41" spans="1:6" s="35" customFormat="1" x14ac:dyDescent="0.25">
      <c r="B41" s="36"/>
      <c r="C41" s="36"/>
      <c r="D41" s="36"/>
      <c r="E41" s="36"/>
      <c r="F41" s="36"/>
    </row>
    <row r="42" spans="1:6" x14ac:dyDescent="0.25">
      <c r="A42" s="9" t="s">
        <v>59</v>
      </c>
      <c r="B42" s="8">
        <f>34810422+530000</f>
        <v>35340422</v>
      </c>
      <c r="C42" s="8">
        <f>34310422+530000</f>
        <v>34840422</v>
      </c>
      <c r="D42" s="8">
        <f>34310422+530000</f>
        <v>34840422</v>
      </c>
      <c r="E42" s="8">
        <f>34310422+530000</f>
        <v>34840422</v>
      </c>
      <c r="F42" s="8"/>
    </row>
    <row r="43" spans="1:6" x14ac:dyDescent="0.25">
      <c r="A43" s="48"/>
      <c r="B43" s="49"/>
      <c r="C43" s="49"/>
      <c r="D43" s="49"/>
      <c r="E43" s="49"/>
      <c r="F43" s="49"/>
    </row>
    <row r="44" spans="1:6" x14ac:dyDescent="0.25">
      <c r="A44" s="48"/>
      <c r="B44" s="49"/>
      <c r="C44" s="49"/>
      <c r="D44" s="49"/>
      <c r="E44" s="49"/>
      <c r="F44" s="49"/>
    </row>
    <row r="45" spans="1:6" x14ac:dyDescent="0.25">
      <c r="A45" s="6" t="s">
        <v>33</v>
      </c>
      <c r="B45" s="12">
        <f>SUM(B42:B44)</f>
        <v>35340422</v>
      </c>
      <c r="C45" s="12">
        <f>SUM(C42:C44)</f>
        <v>34840422</v>
      </c>
      <c r="D45" s="12">
        <f>SUM(D42:D44)</f>
        <v>34840422</v>
      </c>
      <c r="E45" s="12">
        <f>SUM(E42:E44)</f>
        <v>34840422</v>
      </c>
      <c r="F45" s="12"/>
    </row>
    <row r="46" spans="1:6" s="35" customFormat="1" x14ac:dyDescent="0.25">
      <c r="B46" s="36"/>
      <c r="C46" s="36"/>
      <c r="D46" s="36"/>
      <c r="E46" s="36"/>
      <c r="F46" s="36"/>
    </row>
    <row r="47" spans="1:6" x14ac:dyDescent="0.25">
      <c r="A47" s="9" t="s">
        <v>3</v>
      </c>
      <c r="B47" s="8">
        <v>-26361000</v>
      </c>
      <c r="C47" s="8">
        <v>-34362835</v>
      </c>
      <c r="D47" s="8">
        <v>-43590378</v>
      </c>
      <c r="E47" s="8">
        <v>-50000154</v>
      </c>
      <c r="F47" s="8"/>
    </row>
    <row r="48" spans="1:6" x14ac:dyDescent="0.25">
      <c r="B48" s="1"/>
      <c r="C48" s="1"/>
      <c r="D48" s="1"/>
      <c r="E48" s="1"/>
      <c r="F48" s="1"/>
    </row>
    <row r="49" spans="1:18" x14ac:dyDescent="0.25">
      <c r="A49" s="9" t="s">
        <v>57</v>
      </c>
      <c r="B49" s="8">
        <v>6141425</v>
      </c>
      <c r="C49" s="8">
        <v>5611425</v>
      </c>
      <c r="D49" s="8">
        <v>6141425</v>
      </c>
      <c r="E49" s="8">
        <v>5611425</v>
      </c>
      <c r="F49" s="8"/>
    </row>
    <row r="50" spans="1:18" x14ac:dyDescent="0.25">
      <c r="A50" s="48"/>
      <c r="B50" s="49"/>
      <c r="C50" s="49"/>
      <c r="D50" s="49"/>
      <c r="E50" s="49"/>
      <c r="F50" s="49"/>
    </row>
    <row r="51" spans="1:18" ht="15.75" thickBot="1" x14ac:dyDescent="0.3">
      <c r="A51" s="48"/>
      <c r="B51" s="49"/>
      <c r="C51" s="49"/>
      <c r="D51" s="49"/>
      <c r="E51" s="49"/>
      <c r="F51" s="49"/>
    </row>
    <row r="52" spans="1:18" ht="15.75" thickBot="1" x14ac:dyDescent="0.3">
      <c r="A52" s="6" t="s">
        <v>58</v>
      </c>
      <c r="B52" s="12">
        <f>SUM(B49:B51)</f>
        <v>6141425</v>
      </c>
      <c r="C52" s="12">
        <f>SUM(C49:C51)</f>
        <v>5611425</v>
      </c>
      <c r="D52" s="12">
        <f>SUM(D49:D51)</f>
        <v>6141425</v>
      </c>
      <c r="E52" s="12">
        <f>SUM(E49:E51)</f>
        <v>5611425</v>
      </c>
      <c r="F52" s="12"/>
      <c r="H52" s="41" t="s">
        <v>25</v>
      </c>
      <c r="I52" s="38"/>
      <c r="J52" s="38"/>
      <c r="K52" s="39"/>
    </row>
    <row r="53" spans="1:18" ht="15.75" thickBot="1" x14ac:dyDescent="0.3">
      <c r="B53" s="1"/>
      <c r="C53" s="1"/>
      <c r="D53" s="1"/>
      <c r="E53" s="1"/>
      <c r="F53" s="1"/>
      <c r="H53" s="54">
        <v>2025</v>
      </c>
      <c r="I53" s="54">
        <v>2026</v>
      </c>
      <c r="J53" s="54">
        <v>2027</v>
      </c>
      <c r="K53" s="54">
        <v>2028</v>
      </c>
    </row>
    <row r="54" spans="1:18" ht="15.75" thickBot="1" x14ac:dyDescent="0.3">
      <c r="A54" s="21" t="s">
        <v>51</v>
      </c>
      <c r="B54" s="22">
        <f>-12000000*H54</f>
        <v>-24000000</v>
      </c>
      <c r="C54" s="22">
        <f>-12000000*I54</f>
        <v>-36000000</v>
      </c>
      <c r="D54" s="22">
        <f>-12000000*J54</f>
        <v>-48000000</v>
      </c>
      <c r="E54" s="22">
        <f>-12000000*K54</f>
        <v>-48000000</v>
      </c>
      <c r="F54" s="40" t="s">
        <v>52</v>
      </c>
      <c r="H54" s="55">
        <v>2</v>
      </c>
      <c r="I54" s="55">
        <v>3</v>
      </c>
      <c r="J54" s="55">
        <v>4</v>
      </c>
      <c r="K54" s="55">
        <v>4</v>
      </c>
    </row>
    <row r="55" spans="1:18" ht="15.75" thickBot="1" x14ac:dyDescent="0.3">
      <c r="A55" s="52"/>
      <c r="B55" s="53"/>
      <c r="C55" s="53"/>
      <c r="D55" s="53"/>
      <c r="E55" s="53"/>
      <c r="F55" s="53"/>
      <c r="H55" s="51" t="s">
        <v>53</v>
      </c>
      <c r="I55" s="38"/>
      <c r="J55" s="38"/>
      <c r="K55" s="39"/>
    </row>
    <row r="56" spans="1:18" x14ac:dyDescent="0.25">
      <c r="A56" s="21" t="s">
        <v>4</v>
      </c>
      <c r="B56" s="22">
        <f>'Økonomiplan Investering'!F72</f>
        <v>0</v>
      </c>
      <c r="C56" s="22">
        <f>'Økonomiplan Investering'!G72</f>
        <v>0</v>
      </c>
      <c r="D56" s="22">
        <f>'Økonomiplan Investering'!H72</f>
        <v>0</v>
      </c>
      <c r="E56" s="22">
        <f>'Økonomiplan Investering'!I72</f>
        <v>0</v>
      </c>
      <c r="F56" s="40" t="s">
        <v>54</v>
      </c>
    </row>
    <row r="57" spans="1:18" x14ac:dyDescent="0.25">
      <c r="A57" s="35"/>
      <c r="B57" s="36"/>
      <c r="C57" s="36"/>
      <c r="D57" s="36"/>
      <c r="E57" s="36"/>
      <c r="F57" s="36"/>
      <c r="R57"/>
    </row>
    <row r="58" spans="1:18" x14ac:dyDescent="0.25">
      <c r="A58" s="9" t="s">
        <v>15</v>
      </c>
      <c r="B58" s="8"/>
      <c r="C58" s="8"/>
      <c r="D58" s="8"/>
      <c r="E58" s="8"/>
      <c r="F58" s="8"/>
    </row>
    <row r="59" spans="1:18" s="35" customFormat="1" x14ac:dyDescent="0.25">
      <c r="A59" s="48"/>
      <c r="B59" s="49"/>
      <c r="C59" s="49"/>
      <c r="D59" s="49"/>
      <c r="E59" s="49"/>
      <c r="F59" s="49"/>
    </row>
    <row r="60" spans="1:18" s="35" customFormat="1" x14ac:dyDescent="0.25">
      <c r="A60" s="48"/>
      <c r="B60" s="49"/>
      <c r="C60" s="49"/>
      <c r="D60" s="49"/>
      <c r="E60" s="49"/>
      <c r="F60" s="49"/>
    </row>
    <row r="61" spans="1:18" x14ac:dyDescent="0.25">
      <c r="A61" s="6" t="s">
        <v>16</v>
      </c>
      <c r="B61" s="12">
        <f>SUM(B59:B60)</f>
        <v>0</v>
      </c>
      <c r="C61" s="12">
        <f>SUM(C59:C60)</f>
        <v>0</v>
      </c>
      <c r="D61" s="12">
        <f>SUM(D59:D60)</f>
        <v>0</v>
      </c>
      <c r="E61" s="12">
        <f>SUM(E59:E60)</f>
        <v>0</v>
      </c>
      <c r="F61" s="12"/>
      <c r="H61" s="74"/>
      <c r="I61" s="74"/>
    </row>
    <row r="62" spans="1:18" s="35" customFormat="1" x14ac:dyDescent="0.25">
      <c r="B62" s="36"/>
      <c r="C62" s="36"/>
      <c r="D62" s="36"/>
      <c r="E62" s="36"/>
      <c r="F62" s="36"/>
    </row>
    <row r="63" spans="1:18" s="35" customFormat="1" x14ac:dyDescent="0.25">
      <c r="A63" s="6" t="s">
        <v>68</v>
      </c>
      <c r="B63" s="12"/>
      <c r="C63" s="12">
        <f>B69*0.1</f>
        <v>2.1300005912780764E-2</v>
      </c>
      <c r="D63" s="12">
        <f>(B69+C69)*0.1</f>
        <v>3.3063340483931829E-2</v>
      </c>
      <c r="E63" s="12">
        <f>(B69+C69+D69)*0.1</f>
        <v>-7.3032833752222364E-4</v>
      </c>
      <c r="F63" s="12" t="s">
        <v>69</v>
      </c>
    </row>
    <row r="64" spans="1:18" s="35" customFormat="1" x14ac:dyDescent="0.25">
      <c r="B64" s="36"/>
      <c r="C64" s="36"/>
      <c r="D64" s="36"/>
      <c r="E64" s="36"/>
      <c r="F64" s="36"/>
    </row>
    <row r="65" spans="1:8" x14ac:dyDescent="0.25">
      <c r="A65" s="4" t="s">
        <v>63</v>
      </c>
      <c r="B65" s="5" t="s">
        <v>49</v>
      </c>
      <c r="C65" s="5" t="s">
        <v>0</v>
      </c>
      <c r="D65" s="5" t="s">
        <v>26</v>
      </c>
      <c r="E65" s="5" t="s">
        <v>50</v>
      </c>
      <c r="F65" s="5" t="s">
        <v>47</v>
      </c>
    </row>
    <row r="66" spans="1:8" x14ac:dyDescent="0.25">
      <c r="A66" s="2"/>
      <c r="B66" s="73"/>
      <c r="C66" s="73"/>
      <c r="D66" s="73"/>
      <c r="E66" s="73"/>
      <c r="F66" s="73"/>
    </row>
    <row r="67" spans="1:8" x14ac:dyDescent="0.25">
      <c r="A67" s="10" t="s">
        <v>55</v>
      </c>
      <c r="B67" s="12">
        <v>23256843.786999941</v>
      </c>
      <c r="C67" s="12">
        <v>232920.90366666019</v>
      </c>
      <c r="D67" s="12">
        <v>-10839263.628999971</v>
      </c>
      <c r="E67" s="12">
        <v>-11793901.755999967</v>
      </c>
      <c r="F67" s="23">
        <f>SUM(A67:E67)</f>
        <v>856599.30566666275</v>
      </c>
      <c r="H67" s="35" t="s">
        <v>60</v>
      </c>
    </row>
    <row r="68" spans="1:8" x14ac:dyDescent="0.25">
      <c r="A68" s="11" t="s">
        <v>56</v>
      </c>
      <c r="B68" s="13">
        <f>B23+B25+B30+B35+B40+B45+B47+B52+B54+B56+B61+B63</f>
        <v>23256844</v>
      </c>
      <c r="C68" s="13">
        <f t="shared" ref="C68:E68" si="0">C23+C25+C30+C35+C40+C45+C47+C52+C54+C56+C61+C63</f>
        <v>232921.0213000059</v>
      </c>
      <c r="D68" s="13">
        <f t="shared" si="0"/>
        <v>-10839263.966936659</v>
      </c>
      <c r="E68" s="13">
        <f t="shared" si="0"/>
        <v>-11793902.000730328</v>
      </c>
      <c r="F68" s="13">
        <f>SUM(B68:E68)</f>
        <v>856599.05363301933</v>
      </c>
    </row>
    <row r="69" spans="1:8" x14ac:dyDescent="0.25">
      <c r="A69" s="21" t="s">
        <v>5</v>
      </c>
      <c r="B69" s="22">
        <f>B68-B67</f>
        <v>0.21300005912780762</v>
      </c>
      <c r="C69" s="22">
        <f t="shared" ref="C69:E69" si="1">C68-C67</f>
        <v>0.11763334571151063</v>
      </c>
      <c r="D69" s="22">
        <f t="shared" si="1"/>
        <v>-0.33793668821454048</v>
      </c>
      <c r="E69" s="22">
        <f t="shared" si="1"/>
        <v>-0.24473036080598831</v>
      </c>
      <c r="F69" s="22">
        <f>F68-F67</f>
        <v>-0.25203364342451096</v>
      </c>
    </row>
    <row r="70" spans="1:8" s="35" customFormat="1" x14ac:dyDescent="0.25"/>
    <row r="71" spans="1:8" x14ac:dyDescent="0.25">
      <c r="A71" s="6" t="s">
        <v>64</v>
      </c>
      <c r="B71" s="12">
        <f>86443610-B67</f>
        <v>63186766.213000059</v>
      </c>
      <c r="C71" s="12">
        <f t="shared" ref="C71:E72" si="2">B71-C67</f>
        <v>62953845.309333399</v>
      </c>
      <c r="D71" s="12">
        <f t="shared" si="2"/>
        <v>73793108.938333362</v>
      </c>
      <c r="E71" s="12">
        <f t="shared" si="2"/>
        <v>85587010.69433333</v>
      </c>
      <c r="F71" s="12"/>
    </row>
    <row r="72" spans="1:8" x14ac:dyDescent="0.25">
      <c r="A72" s="75" t="s">
        <v>65</v>
      </c>
      <c r="B72" s="76">
        <f>86443610-B68</f>
        <v>63186766</v>
      </c>
      <c r="C72" s="76">
        <f t="shared" si="2"/>
        <v>62953844.978699997</v>
      </c>
      <c r="D72" s="76">
        <f t="shared" si="2"/>
        <v>73793108.94563666</v>
      </c>
      <c r="E72" s="76">
        <f t="shared" si="2"/>
        <v>85587010.946366996</v>
      </c>
      <c r="F72" s="76"/>
    </row>
    <row r="73" spans="1:8" s="35" customFormat="1" x14ac:dyDescent="0.25">
      <c r="A73" s="21" t="s">
        <v>5</v>
      </c>
      <c r="B73" s="22">
        <f>B72-B71</f>
        <v>-0.21300005912780762</v>
      </c>
      <c r="C73" s="22">
        <f t="shared" ref="C73:E73" si="3">C72-C71</f>
        <v>-0.33063340187072754</v>
      </c>
      <c r="D73" s="22">
        <f t="shared" si="3"/>
        <v>7.3032975196838379E-3</v>
      </c>
      <c r="E73" s="22">
        <f t="shared" si="3"/>
        <v>0.25203366577625275</v>
      </c>
      <c r="F73" s="22"/>
    </row>
    <row r="74" spans="1:8" s="35" customFormat="1" x14ac:dyDescent="0.25"/>
    <row r="75" spans="1:8" s="35" customFormat="1" x14ac:dyDescent="0.25"/>
    <row r="76" spans="1:8" s="35" customFormat="1" x14ac:dyDescent="0.25"/>
    <row r="77" spans="1:8" s="35" customFormat="1" x14ac:dyDescent="0.25"/>
    <row r="78" spans="1:8" s="35" customFormat="1" x14ac:dyDescent="0.25"/>
    <row r="79" spans="1:8" s="35" customFormat="1" x14ac:dyDescent="0.25"/>
    <row r="80" spans="1:8" s="35" customFormat="1" x14ac:dyDescent="0.25"/>
    <row r="81" s="35" customFormat="1" x14ac:dyDescent="0.25"/>
    <row r="82" s="35" customFormat="1" x14ac:dyDescent="0.25"/>
    <row r="83" s="35" customFormat="1" x14ac:dyDescent="0.25"/>
    <row r="84" s="35" customFormat="1" x14ac:dyDescent="0.25"/>
    <row r="85" s="35" customFormat="1" x14ac:dyDescent="0.25"/>
    <row r="86" s="35" customFormat="1" x14ac:dyDescent="0.25"/>
    <row r="87" s="35" customFormat="1" x14ac:dyDescent="0.25"/>
    <row r="88" s="35" customFormat="1" x14ac:dyDescent="0.25"/>
    <row r="89" s="35" customFormat="1" x14ac:dyDescent="0.25"/>
    <row r="90" s="35" customFormat="1" x14ac:dyDescent="0.25"/>
    <row r="91" s="35" customFormat="1" x14ac:dyDescent="0.25"/>
    <row r="92" s="35" customFormat="1" x14ac:dyDescent="0.25"/>
    <row r="93" s="35" customFormat="1" x14ac:dyDescent="0.25"/>
    <row r="94" s="35" customFormat="1" x14ac:dyDescent="0.25"/>
    <row r="95" s="35" customFormat="1" x14ac:dyDescent="0.25"/>
    <row r="96" s="35" customFormat="1" x14ac:dyDescent="0.25"/>
    <row r="97" s="35" customFormat="1" x14ac:dyDescent="0.25"/>
    <row r="98" s="35" customFormat="1" x14ac:dyDescent="0.25"/>
    <row r="99" s="35" customFormat="1" x14ac:dyDescent="0.25"/>
    <row r="100" s="35" customFormat="1" x14ac:dyDescent="0.25"/>
    <row r="101" s="35" customFormat="1" x14ac:dyDescent="0.25"/>
    <row r="102" s="35" customFormat="1" x14ac:dyDescent="0.25"/>
    <row r="103" s="35" customFormat="1" x14ac:dyDescent="0.25"/>
    <row r="104" s="35" customFormat="1" x14ac:dyDescent="0.25"/>
    <row r="105" s="35" customFormat="1" x14ac:dyDescent="0.25"/>
    <row r="106" s="35" customFormat="1" x14ac:dyDescent="0.25"/>
    <row r="107" s="35" customFormat="1" x14ac:dyDescent="0.25"/>
    <row r="108" s="35" customFormat="1" x14ac:dyDescent="0.25"/>
    <row r="109" s="35" customFormat="1" x14ac:dyDescent="0.25"/>
    <row r="110" s="35" customFormat="1" x14ac:dyDescent="0.25"/>
    <row r="111" s="35" customFormat="1" x14ac:dyDescent="0.25"/>
    <row r="112" s="35" customFormat="1" x14ac:dyDescent="0.25"/>
    <row r="113" s="35" customFormat="1" x14ac:dyDescent="0.25"/>
    <row r="114" s="35" customFormat="1" x14ac:dyDescent="0.25"/>
    <row r="115" s="35" customFormat="1" x14ac:dyDescent="0.25"/>
    <row r="116" s="35" customFormat="1" x14ac:dyDescent="0.25"/>
    <row r="117" s="35" customFormat="1" x14ac:dyDescent="0.25"/>
    <row r="118" s="35" customFormat="1" x14ac:dyDescent="0.25"/>
    <row r="119" s="35" customFormat="1" x14ac:dyDescent="0.25"/>
    <row r="120" s="35" customFormat="1" x14ac:dyDescent="0.25"/>
    <row r="121" s="35" customFormat="1" x14ac:dyDescent="0.25"/>
    <row r="122" s="35" customFormat="1" x14ac:dyDescent="0.25"/>
    <row r="123" s="35" customFormat="1" x14ac:dyDescent="0.25"/>
    <row r="124" s="35" customFormat="1" x14ac:dyDescent="0.25"/>
    <row r="125" s="35" customFormat="1" x14ac:dyDescent="0.25"/>
    <row r="126" s="35" customFormat="1" x14ac:dyDescent="0.25"/>
    <row r="127" s="35" customFormat="1" x14ac:dyDescent="0.25"/>
    <row r="128" s="35" customFormat="1" x14ac:dyDescent="0.25"/>
    <row r="129" s="35" customFormat="1" x14ac:dyDescent="0.25"/>
    <row r="130" s="35" customFormat="1" x14ac:dyDescent="0.25"/>
    <row r="131" s="35" customFormat="1" x14ac:dyDescent="0.25"/>
    <row r="132" s="35" customFormat="1" x14ac:dyDescent="0.25"/>
    <row r="133" s="35" customFormat="1" x14ac:dyDescent="0.25"/>
    <row r="134" s="35" customFormat="1" x14ac:dyDescent="0.25"/>
    <row r="135" s="35" customFormat="1" x14ac:dyDescent="0.25"/>
    <row r="136" s="35" customFormat="1" x14ac:dyDescent="0.25"/>
    <row r="137" s="35" customFormat="1" x14ac:dyDescent="0.25"/>
    <row r="138" s="35" customFormat="1" x14ac:dyDescent="0.25"/>
    <row r="139" s="35" customFormat="1" x14ac:dyDescent="0.25"/>
    <row r="140" s="35" customFormat="1" x14ac:dyDescent="0.25"/>
    <row r="141" s="35" customFormat="1" x14ac:dyDescent="0.25"/>
    <row r="142" s="35" customFormat="1" x14ac:dyDescent="0.25"/>
    <row r="143" s="35" customFormat="1" x14ac:dyDescent="0.25"/>
    <row r="144" s="35" customFormat="1" x14ac:dyDescent="0.25"/>
    <row r="145" s="35" customFormat="1" x14ac:dyDescent="0.25"/>
    <row r="146" s="35" customFormat="1" x14ac:dyDescent="0.25"/>
    <row r="147" s="35" customFormat="1" x14ac:dyDescent="0.25"/>
    <row r="148" s="35" customFormat="1" x14ac:dyDescent="0.25"/>
    <row r="149" s="35" customFormat="1" x14ac:dyDescent="0.25"/>
    <row r="150" s="35" customFormat="1" x14ac:dyDescent="0.25"/>
    <row r="151" s="35" customFormat="1" x14ac:dyDescent="0.25"/>
    <row r="152" s="35" customFormat="1" x14ac:dyDescent="0.25"/>
    <row r="153" s="35" customFormat="1" x14ac:dyDescent="0.25"/>
    <row r="154" s="35" customFormat="1" x14ac:dyDescent="0.25"/>
    <row r="155" s="35" customFormat="1" x14ac:dyDescent="0.25"/>
    <row r="156" s="35" customFormat="1" x14ac:dyDescent="0.25"/>
    <row r="157" s="35" customFormat="1" x14ac:dyDescent="0.25"/>
    <row r="158" s="35" customFormat="1" x14ac:dyDescent="0.25"/>
    <row r="159" s="35" customFormat="1" x14ac:dyDescent="0.25"/>
    <row r="160" s="35" customFormat="1" x14ac:dyDescent="0.25"/>
    <row r="161" s="35" customFormat="1" x14ac:dyDescent="0.25"/>
    <row r="162" s="35" customFormat="1" x14ac:dyDescent="0.25"/>
    <row r="163" s="35" customFormat="1" x14ac:dyDescent="0.25"/>
    <row r="164" s="35" customFormat="1" x14ac:dyDescent="0.25"/>
    <row r="165" s="35" customFormat="1" x14ac:dyDescent="0.25"/>
    <row r="166" s="35" customFormat="1" x14ac:dyDescent="0.25"/>
    <row r="167" s="35" customFormat="1" x14ac:dyDescent="0.25"/>
    <row r="168" s="35" customFormat="1" x14ac:dyDescent="0.25"/>
    <row r="169" s="35" customFormat="1" x14ac:dyDescent="0.25"/>
    <row r="170" s="35" customFormat="1" x14ac:dyDescent="0.25"/>
    <row r="171" s="35" customFormat="1" x14ac:dyDescent="0.25"/>
    <row r="172" s="35" customFormat="1" x14ac:dyDescent="0.25"/>
    <row r="173" s="35" customFormat="1" x14ac:dyDescent="0.25"/>
    <row r="174" s="35" customFormat="1" x14ac:dyDescent="0.25"/>
    <row r="175" s="35" customFormat="1" x14ac:dyDescent="0.25"/>
    <row r="176" s="35" customFormat="1" x14ac:dyDescent="0.25"/>
    <row r="177" s="35" customFormat="1" x14ac:dyDescent="0.25"/>
    <row r="178" s="35" customFormat="1" x14ac:dyDescent="0.25"/>
    <row r="179" s="35" customFormat="1" x14ac:dyDescent="0.25"/>
    <row r="180" s="35" customFormat="1" x14ac:dyDescent="0.25"/>
    <row r="181" s="35" customFormat="1" x14ac:dyDescent="0.25"/>
    <row r="182" s="35" customFormat="1" x14ac:dyDescent="0.25"/>
    <row r="183" s="35" customFormat="1" x14ac:dyDescent="0.25"/>
    <row r="184" s="35" customFormat="1" x14ac:dyDescent="0.25"/>
    <row r="185" s="35" customFormat="1" x14ac:dyDescent="0.25"/>
    <row r="186" s="35" customFormat="1" x14ac:dyDescent="0.25"/>
    <row r="187" s="35" customFormat="1" x14ac:dyDescent="0.25"/>
    <row r="188" s="35" customFormat="1" x14ac:dyDescent="0.25"/>
    <row r="189" s="35" customFormat="1" x14ac:dyDescent="0.25"/>
    <row r="190" s="35" customFormat="1" x14ac:dyDescent="0.25"/>
    <row r="191" s="35" customFormat="1" x14ac:dyDescent="0.25"/>
    <row r="192" s="35" customFormat="1" x14ac:dyDescent="0.25"/>
    <row r="193" s="35" customFormat="1" x14ac:dyDescent="0.25"/>
    <row r="194" s="35" customFormat="1" x14ac:dyDescent="0.25"/>
    <row r="195" s="35" customFormat="1" x14ac:dyDescent="0.25"/>
    <row r="196" s="35" customFormat="1" x14ac:dyDescent="0.25"/>
    <row r="197" s="35" customFormat="1" x14ac:dyDescent="0.25"/>
    <row r="198" s="35" customFormat="1" x14ac:dyDescent="0.25"/>
    <row r="199" s="35" customFormat="1" x14ac:dyDescent="0.25"/>
    <row r="200" s="35" customFormat="1" x14ac:dyDescent="0.25"/>
    <row r="201" s="35" customFormat="1" x14ac:dyDescent="0.25"/>
    <row r="202" s="35" customFormat="1" x14ac:dyDescent="0.25"/>
    <row r="203" s="35" customFormat="1" x14ac:dyDescent="0.25"/>
    <row r="204" s="35" customFormat="1" x14ac:dyDescent="0.25"/>
    <row r="205" s="35" customFormat="1" x14ac:dyDescent="0.25"/>
    <row r="206" s="35" customFormat="1" x14ac:dyDescent="0.25"/>
    <row r="207" s="35" customFormat="1" x14ac:dyDescent="0.25"/>
    <row r="208" s="35" customFormat="1" x14ac:dyDescent="0.25"/>
    <row r="209" s="35" customFormat="1" x14ac:dyDescent="0.25"/>
    <row r="210" s="35" customFormat="1" x14ac:dyDescent="0.25"/>
    <row r="211" s="35" customFormat="1" x14ac:dyDescent="0.25"/>
    <row r="212" s="35" customFormat="1" x14ac:dyDescent="0.25"/>
    <row r="213" s="35" customFormat="1" x14ac:dyDescent="0.25"/>
    <row r="214" s="35" customFormat="1" x14ac:dyDescent="0.25"/>
    <row r="215" s="35" customFormat="1" x14ac:dyDescent="0.25"/>
    <row r="216" s="35" customFormat="1" x14ac:dyDescent="0.25"/>
    <row r="217" s="35" customFormat="1" x14ac:dyDescent="0.25"/>
    <row r="218" s="35" customFormat="1" x14ac:dyDescent="0.25"/>
    <row r="219" s="35" customFormat="1" x14ac:dyDescent="0.25"/>
    <row r="220" s="35" customFormat="1" x14ac:dyDescent="0.25"/>
    <row r="221" s="35" customFormat="1" x14ac:dyDescent="0.25"/>
    <row r="222" s="35" customFormat="1" x14ac:dyDescent="0.25"/>
    <row r="223" s="35" customFormat="1" x14ac:dyDescent="0.25"/>
    <row r="224" s="35" customFormat="1" x14ac:dyDescent="0.25"/>
    <row r="225" s="35" customFormat="1" x14ac:dyDescent="0.25"/>
    <row r="226" s="35" customFormat="1" x14ac:dyDescent="0.25"/>
    <row r="227" s="35" customFormat="1" x14ac:dyDescent="0.25"/>
    <row r="228" s="35" customFormat="1" x14ac:dyDescent="0.25"/>
    <row r="229" s="35" customFormat="1" x14ac:dyDescent="0.25"/>
    <row r="230" s="35" customFormat="1" x14ac:dyDescent="0.25"/>
    <row r="231" s="35" customFormat="1" x14ac:dyDescent="0.25"/>
    <row r="232" s="35" customFormat="1" x14ac:dyDescent="0.25"/>
    <row r="233" s="35" customFormat="1" x14ac:dyDescent="0.25"/>
    <row r="234" s="35" customFormat="1" x14ac:dyDescent="0.25"/>
    <row r="235" s="35" customFormat="1" x14ac:dyDescent="0.25"/>
    <row r="236" s="35" customFormat="1" x14ac:dyDescent="0.25"/>
    <row r="237" s="35" customFormat="1" x14ac:dyDescent="0.25"/>
    <row r="238" s="35" customFormat="1" x14ac:dyDescent="0.25"/>
    <row r="239" s="35" customFormat="1" x14ac:dyDescent="0.25"/>
    <row r="240" s="35" customFormat="1" x14ac:dyDescent="0.25"/>
    <row r="241" s="35" customFormat="1" x14ac:dyDescent="0.25"/>
    <row r="242" s="35" customFormat="1" x14ac:dyDescent="0.25"/>
    <row r="243" s="35" customFormat="1" x14ac:dyDescent="0.25"/>
    <row r="244" s="35" customFormat="1" x14ac:dyDescent="0.25"/>
    <row r="245" s="35" customFormat="1" x14ac:dyDescent="0.25"/>
    <row r="246" s="35" customFormat="1" x14ac:dyDescent="0.25"/>
    <row r="247" s="35" customFormat="1" x14ac:dyDescent="0.25"/>
    <row r="248" s="35" customFormat="1" x14ac:dyDescent="0.25"/>
    <row r="249" s="35" customFormat="1" x14ac:dyDescent="0.25"/>
    <row r="250" s="35" customFormat="1" x14ac:dyDescent="0.25"/>
    <row r="251" s="35" customFormat="1" x14ac:dyDescent="0.25"/>
    <row r="252" s="35" customFormat="1" x14ac:dyDescent="0.25"/>
    <row r="253" s="35" customFormat="1" x14ac:dyDescent="0.25"/>
    <row r="254" s="35" customFormat="1" x14ac:dyDescent="0.25"/>
    <row r="255" s="35" customFormat="1" x14ac:dyDescent="0.25"/>
    <row r="256" s="35" customFormat="1" x14ac:dyDescent="0.25"/>
    <row r="257" spans="1:6" s="35" customFormat="1" x14ac:dyDescent="0.25"/>
    <row r="258" spans="1:6" s="35" customFormat="1" x14ac:dyDescent="0.25"/>
    <row r="259" spans="1:6" s="35" customFormat="1" x14ac:dyDescent="0.25">
      <c r="A259"/>
      <c r="B259"/>
      <c r="C259"/>
      <c r="D259"/>
      <c r="E259"/>
      <c r="F259"/>
    </row>
    <row r="260" spans="1:6" s="35" customFormat="1" x14ac:dyDescent="0.25">
      <c r="A260"/>
      <c r="B260"/>
      <c r="C260"/>
      <c r="D260"/>
      <c r="E260"/>
      <c r="F260"/>
    </row>
    <row r="261" spans="1:6" s="35" customFormat="1" x14ac:dyDescent="0.25">
      <c r="A261"/>
      <c r="B261"/>
      <c r="C261"/>
      <c r="D261"/>
      <c r="E261"/>
      <c r="F261"/>
    </row>
    <row r="262" spans="1:6" s="35" customFormat="1" x14ac:dyDescent="0.25">
      <c r="A262"/>
      <c r="B262"/>
      <c r="C262"/>
      <c r="D262"/>
      <c r="E262"/>
      <c r="F262"/>
    </row>
    <row r="263" spans="1:6" s="35" customFormat="1" x14ac:dyDescent="0.25">
      <c r="A263"/>
      <c r="B263"/>
      <c r="C263"/>
      <c r="D263"/>
      <c r="E263"/>
      <c r="F263"/>
    </row>
    <row r="264" spans="1:6" s="35" customFormat="1" x14ac:dyDescent="0.25">
      <c r="A264"/>
      <c r="B264"/>
      <c r="C264"/>
      <c r="D264"/>
      <c r="E264"/>
      <c r="F264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A0295-135A-4902-A38E-4454D30FAC6A}">
  <dimension ref="A1:AG117"/>
  <sheetViews>
    <sheetView zoomScale="110" zoomScaleNormal="110" workbookViewId="0">
      <selection activeCell="B9" sqref="B9"/>
    </sheetView>
  </sheetViews>
  <sheetFormatPr baseColWidth="10" defaultColWidth="11.42578125" defaultRowHeight="12" x14ac:dyDescent="0.2"/>
  <cols>
    <col min="1" max="1" width="44.42578125" style="62" customWidth="1"/>
    <col min="2" max="5" width="11.28515625" style="62" bestFit="1" customWidth="1"/>
    <col min="6" max="6" width="9" style="62" bestFit="1" customWidth="1"/>
    <col min="7" max="9" width="10.28515625" style="62" bestFit="1" customWidth="1"/>
    <col min="10" max="10" width="21.7109375" style="61" customWidth="1"/>
    <col min="11" max="11" width="11.42578125" style="61"/>
    <col min="12" max="12" width="14.28515625" style="61" customWidth="1"/>
    <col min="13" max="20" width="11.42578125" style="61"/>
    <col min="21" max="21" width="17.28515625" style="61" customWidth="1"/>
    <col min="22" max="22" width="13.28515625" style="61" customWidth="1"/>
    <col min="23" max="33" width="11.42578125" style="61"/>
    <col min="34" max="16384" width="11.42578125" style="62"/>
  </cols>
  <sheetData>
    <row r="1" spans="1:20" ht="21" x14ac:dyDescent="0.35">
      <c r="A1" s="59" t="s">
        <v>66</v>
      </c>
      <c r="B1" s="60"/>
      <c r="C1" s="60"/>
      <c r="D1" s="60"/>
      <c r="E1" s="60"/>
      <c r="F1" s="60"/>
      <c r="G1" s="60"/>
      <c r="H1" s="60"/>
      <c r="I1" s="60"/>
      <c r="J1" s="60"/>
    </row>
    <row r="2" spans="1:20" ht="12.75" thickBot="1" x14ac:dyDescent="0.25">
      <c r="A2" s="61"/>
      <c r="B2" s="61"/>
      <c r="C2" s="61"/>
      <c r="D2" s="61"/>
      <c r="E2" s="61"/>
      <c r="F2" s="61"/>
      <c r="G2" s="61"/>
      <c r="H2" s="61"/>
      <c r="I2" s="61"/>
    </row>
    <row r="3" spans="1:20" ht="15" x14ac:dyDescent="0.25">
      <c r="A3" s="24" t="s">
        <v>18</v>
      </c>
      <c r="B3" s="25"/>
      <c r="C3" s="25"/>
      <c r="D3" s="25"/>
      <c r="E3" s="25"/>
      <c r="F3" s="43"/>
      <c r="G3" s="43"/>
      <c r="H3" s="43"/>
      <c r="I3" s="43"/>
      <c r="J3" s="44"/>
      <c r="L3" s="63" t="s">
        <v>9</v>
      </c>
      <c r="M3" s="60"/>
      <c r="N3" s="60"/>
      <c r="O3" s="60"/>
      <c r="P3" s="60"/>
      <c r="Q3" s="60"/>
      <c r="R3" s="60"/>
      <c r="S3" s="60"/>
      <c r="T3" s="60"/>
    </row>
    <row r="4" spans="1:20" ht="15" x14ac:dyDescent="0.25">
      <c r="A4" s="27" t="s">
        <v>101</v>
      </c>
      <c r="B4" s="28"/>
      <c r="C4" s="28"/>
      <c r="D4" s="28"/>
      <c r="E4" s="28"/>
      <c r="F4" s="60"/>
      <c r="G4" s="60"/>
      <c r="H4" s="60"/>
      <c r="I4" s="60"/>
      <c r="J4" s="45"/>
      <c r="L4" s="63"/>
      <c r="M4" s="60"/>
      <c r="N4" s="60"/>
      <c r="O4" s="60"/>
      <c r="P4" s="60"/>
      <c r="Q4" s="60"/>
      <c r="R4" s="60"/>
      <c r="S4" s="60"/>
      <c r="T4" s="60"/>
    </row>
    <row r="5" spans="1:20" ht="15" x14ac:dyDescent="0.25">
      <c r="A5" s="27" t="s">
        <v>17</v>
      </c>
      <c r="B5" s="28"/>
      <c r="C5" s="28"/>
      <c r="D5" s="28"/>
      <c r="E5" s="28"/>
      <c r="F5" s="60"/>
      <c r="G5" s="60"/>
      <c r="H5" s="60"/>
      <c r="I5" s="60"/>
      <c r="J5" s="45"/>
    </row>
    <row r="6" spans="1:20" ht="15.75" thickBot="1" x14ac:dyDescent="0.3">
      <c r="A6" s="30" t="s">
        <v>19</v>
      </c>
      <c r="B6" s="31"/>
      <c r="C6" s="31"/>
      <c r="D6" s="31"/>
      <c r="E6" s="31"/>
      <c r="F6" s="46"/>
      <c r="G6" s="46"/>
      <c r="H6" s="46"/>
      <c r="I6" s="46"/>
      <c r="J6" s="47"/>
    </row>
    <row r="7" spans="1:20" s="61" customFormat="1" ht="15" x14ac:dyDescent="0.25">
      <c r="A7" s="35"/>
      <c r="B7" s="35"/>
      <c r="C7" s="35"/>
      <c r="D7" s="35"/>
      <c r="E7" s="35"/>
      <c r="F7" s="35"/>
      <c r="G7" s="35"/>
      <c r="H7" s="35"/>
      <c r="I7" s="35"/>
    </row>
    <row r="8" spans="1:20" ht="15" x14ac:dyDescent="0.25">
      <c r="A8" s="10"/>
      <c r="B8" s="79" t="s">
        <v>6</v>
      </c>
      <c r="C8" s="79"/>
      <c r="D8" s="79"/>
      <c r="E8" s="79"/>
      <c r="F8" s="79" t="s">
        <v>7</v>
      </c>
      <c r="G8" s="79"/>
      <c r="H8" s="79"/>
      <c r="I8" s="79"/>
      <c r="J8" s="42"/>
    </row>
    <row r="9" spans="1:20" ht="15" x14ac:dyDescent="0.25">
      <c r="A9" s="10" t="s">
        <v>100</v>
      </c>
      <c r="B9" s="10">
        <v>2025</v>
      </c>
      <c r="C9" s="10">
        <v>2026</v>
      </c>
      <c r="D9" s="10">
        <v>2027</v>
      </c>
      <c r="E9" s="10">
        <v>2028</v>
      </c>
      <c r="F9" s="10">
        <v>2025</v>
      </c>
      <c r="G9" s="10">
        <v>2026</v>
      </c>
      <c r="H9" s="10">
        <v>2027</v>
      </c>
      <c r="I9" s="10">
        <v>2028</v>
      </c>
      <c r="J9" s="10" t="s">
        <v>20</v>
      </c>
    </row>
    <row r="10" spans="1:20" s="61" customFormat="1" ht="15" x14ac:dyDescent="0.25">
      <c r="A10" s="64" t="s">
        <v>79</v>
      </c>
      <c r="B10" s="65">
        <v>1250000</v>
      </c>
      <c r="C10" s="65">
        <v>1000000</v>
      </c>
      <c r="D10" s="65">
        <v>1000000</v>
      </c>
      <c r="E10" s="65">
        <v>1000000</v>
      </c>
      <c r="F10" s="8">
        <f>B10*0.8*$M$28/2</f>
        <v>22650</v>
      </c>
      <c r="G10" s="8">
        <f>(B10*0.8*$N$28)+(B10*0.8/5)+((C10*0.8*$N$28/2))</f>
        <v>252220</v>
      </c>
      <c r="H10" s="8">
        <f>((((B10*0.8)-((B10*0.8)/5))*$O$28)+((B10*0.8)/5))+(((C10*0.8)*$O$28)+(C10*0.8/5)+(D10*0.8*$O$28/2))</f>
        <v>426400</v>
      </c>
      <c r="I10" s="8">
        <f>((((B10*0.8)-(((B10*0.8)/5)*2))*$P$28)+((B10*0.8)/5))+((((C10*0.8)-(C10*0.8/5))*$P$28)+(C10*0.8/5)+(D10*0.8*$P$28)+(D10*0.8/5)+(E10*0.8*$P$28/2))</f>
        <v>601008</v>
      </c>
      <c r="J10" s="65"/>
    </row>
    <row r="11" spans="1:20" s="61" customFormat="1" ht="15" x14ac:dyDescent="0.25">
      <c r="A11" s="64" t="s">
        <v>80</v>
      </c>
      <c r="B11" s="65">
        <v>500000</v>
      </c>
      <c r="C11" s="65">
        <v>500000</v>
      </c>
      <c r="D11" s="65">
        <v>500000</v>
      </c>
      <c r="E11" s="65">
        <v>500000</v>
      </c>
      <c r="F11" s="8">
        <f>B11*$M$28/2</f>
        <v>11325</v>
      </c>
      <c r="G11" s="8">
        <f>(B11*$N$28)+(B11/30)+((C11*$N$28/2))</f>
        <v>44641.666666666672</v>
      </c>
      <c r="H11" s="8">
        <f>((((B11)-((B11)/30))*$O$28)+((B11)/30))+(((C11)*$O$28)+(C11/30)+(D11*$O$28/2))</f>
        <v>74280</v>
      </c>
      <c r="I11" s="8">
        <f>((((B11)-(((B11)/30)*2))*$P$28)+((B11)/30))+((((C11)-(C11/30))*$P$28)+(C11/30)+(D11*$P$28)+(D11/30)+(E11*$P$28/2))</f>
        <v>106440</v>
      </c>
      <c r="J11" s="65"/>
    </row>
    <row r="12" spans="1:20" s="61" customFormat="1" ht="15" x14ac:dyDescent="0.25">
      <c r="A12" s="64" t="s">
        <v>81</v>
      </c>
      <c r="B12" s="65">
        <v>3000000</v>
      </c>
      <c r="C12" s="65">
        <v>2000000</v>
      </c>
      <c r="D12" s="65">
        <v>2000000</v>
      </c>
      <c r="E12" s="65">
        <v>2000000</v>
      </c>
      <c r="F12" s="8">
        <f>B12*0.8*$M$28/2</f>
        <v>54360</v>
      </c>
      <c r="G12" s="8">
        <f>(B12*0.8*$N$28)+(B12*0.8/20)+((C12*0.8*$N$28/2))</f>
        <v>239360</v>
      </c>
      <c r="H12" s="8">
        <f>((((B12*0.8)-((B12*0.8)/20))*$O$28)+((B12*0.8)/20))+(((C12*0.8)*$O$28)+(C12*0.8/20)+(D12*0.8*$O$28/2))</f>
        <v>355376</v>
      </c>
      <c r="I12" s="8">
        <f>((((B12*0.8)-(((B12*0.8)/20)*2))*$P$28)+((B12*0.8)/20))+((((C12*0.8)-(C12*0.8/20))*$P$28)+(C12*0.8/20)+(D12*0.8*$P$28)+(D12*0.8/20)+(E12*0.8*$P$28/2))</f>
        <v>481856</v>
      </c>
      <c r="J12" s="65"/>
    </row>
    <row r="13" spans="1:20" s="61" customFormat="1" ht="15" x14ac:dyDescent="0.25">
      <c r="A13" s="64" t="s">
        <v>82</v>
      </c>
      <c r="B13" s="65">
        <v>2750000</v>
      </c>
      <c r="C13" s="65">
        <v>2000000</v>
      </c>
      <c r="D13" s="65">
        <v>2000000</v>
      </c>
      <c r="E13" s="65">
        <v>2000000</v>
      </c>
      <c r="F13" s="8">
        <f>B13*$M$28/2</f>
        <v>62287.5</v>
      </c>
      <c r="G13" s="8">
        <f>(B13*$N$28)+(B13/10)+((C13*$N$28/2))</f>
        <v>414875</v>
      </c>
      <c r="H13" s="8">
        <f>((((B13)-((B13)/10))*$O$28)+((B13)/10))+(((C13)*$O$28)+(C13/10)+(D13*$O$28/2))</f>
        <v>656770</v>
      </c>
      <c r="I13" s="8">
        <f>((((B13)-(((B13)/10)*2))*$P$28)+((B13)/10))+((((C13)-(C13/10))*$P$28)+(C13/10)+(D13*$P$28)+(D13/10)+(E13*$P$28/2))</f>
        <v>907400</v>
      </c>
      <c r="J13" s="65"/>
    </row>
    <row r="14" spans="1:20" s="61" customFormat="1" ht="15" x14ac:dyDescent="0.25">
      <c r="A14" s="64" t="s">
        <v>83</v>
      </c>
      <c r="B14" s="65">
        <v>2000000</v>
      </c>
      <c r="C14" s="65">
        <v>4000000</v>
      </c>
      <c r="D14" s="65">
        <v>4000000</v>
      </c>
      <c r="E14" s="65">
        <v>2000000</v>
      </c>
      <c r="F14" s="8">
        <f t="shared" ref="F14:F19" si="0">B14*0.8*$M$28/2</f>
        <v>36240</v>
      </c>
      <c r="G14" s="8">
        <f>(B14*0.8*$N$28)+(B14*0.8/40)+((C14*0.8*$N$28/2))</f>
        <v>159360</v>
      </c>
      <c r="H14" s="8">
        <f>((((B14*0.8)-((B14*0.8)/40))*$O$28)+((B14*0.8)/40))+(((C14*0.8)*$O$28)+(C14*0.8/40)+(D14*0.8*$O$28/2))</f>
        <v>331152</v>
      </c>
      <c r="I14" s="8">
        <f>((((B14*0.8)-(((B14*0.8)/40)*2))*$P$28)+((B14*0.8)/40))+((((C14*0.8)-(C14*0.8/40))*$P$28)+(C14*0.8/40)+(D14*0.8*$P$28)+(D14*0.8/40)+(E14*0.8*$P$28/2))</f>
        <v>486848</v>
      </c>
      <c r="J14" s="65"/>
    </row>
    <row r="15" spans="1:20" s="61" customFormat="1" ht="15" x14ac:dyDescent="0.25">
      <c r="A15" s="64" t="s">
        <v>84</v>
      </c>
      <c r="B15" s="65">
        <v>1000000</v>
      </c>
      <c r="C15" s="65">
        <v>1000000</v>
      </c>
      <c r="D15" s="65">
        <v>6000000</v>
      </c>
      <c r="E15" s="65">
        <v>80000000</v>
      </c>
      <c r="F15" s="8">
        <f t="shared" si="0"/>
        <v>18120</v>
      </c>
      <c r="G15" s="8">
        <f>(B15*0.8*$N$28)+(B15*0.8/40)+((C15*0.8*$N$28/2))</f>
        <v>64760</v>
      </c>
      <c r="H15" s="8">
        <f>((((B15*0.8)-((B15*0.8)/40))*$O$28)+((B15*0.8)/40))+(((C15*0.8)*$O$28)+(C15*0.8/40)+(D15*0.8*$O$28/2))</f>
        <v>172136</v>
      </c>
      <c r="I15" s="8">
        <f>((((B15*0.8)-(((B15*0.8)/40)*2))*$P$28)+((B15*0.8)/40))+((((C15*0.8)-(C15*0.8/40))*$P$28)+(C15*0.8/40)+(D15*0.8*$P$28)+(D15*0.8/40)+(E15*0.8*$P$28/2))</f>
        <v>1432888</v>
      </c>
      <c r="J15" s="65"/>
    </row>
    <row r="16" spans="1:20" s="61" customFormat="1" ht="15" x14ac:dyDescent="0.25">
      <c r="A16" s="64" t="s">
        <v>85</v>
      </c>
      <c r="B16" s="65"/>
      <c r="C16" s="65">
        <v>500000</v>
      </c>
      <c r="D16" s="65"/>
      <c r="E16" s="65"/>
      <c r="F16" s="8">
        <f t="shared" si="0"/>
        <v>0</v>
      </c>
      <c r="G16" s="8">
        <f>(B16*0.8*$N$28)+(B16*0.8/40)+((C16*0.8*$N$28/2))</f>
        <v>7460</v>
      </c>
      <c r="H16" s="8">
        <f>((((B16*0.8)-((B16*0.8)/40))*$O$28)+((B16*0.8)/40))+(((C16*0.8)*$O$28)+(C16*0.8/40)+(D16*0.8*$O$28/2))</f>
        <v>23280</v>
      </c>
      <c r="I16" s="8">
        <f>((((B16*0.8)-(((B16*0.8)/40)*2))*$P$28)+((B16*0.8)/40))+((((C16*0.8)-(C16*0.8/40))*$P$28)+(C16*0.8/40)+(D16*0.8*$P$28)+(D16*0.8/40)+(E16*0.8*$P$28/2))</f>
        <v>22948</v>
      </c>
      <c r="J16" s="65"/>
    </row>
    <row r="17" spans="1:22" s="61" customFormat="1" ht="15" x14ac:dyDescent="0.25">
      <c r="A17" s="64" t="s">
        <v>86</v>
      </c>
      <c r="B17" s="65">
        <v>500000</v>
      </c>
      <c r="C17" s="65"/>
      <c r="D17" s="65"/>
      <c r="E17" s="65"/>
      <c r="F17" s="8">
        <f t="shared" si="0"/>
        <v>9060</v>
      </c>
      <c r="G17" s="8">
        <f>(B17*0.8*$N$28)+(B17*0.8/40)+((C17*0.8*$N$28/2))</f>
        <v>24920</v>
      </c>
      <c r="H17" s="8">
        <f>((((B17*0.8)-((B17*0.8)/40))*$O$28)+((B17*0.8)/40))+(((C17*0.8)*$O$28)+(C17*0.8/40)+(D17*0.8*$O$28/2))</f>
        <v>22948</v>
      </c>
      <c r="I17" s="8">
        <f>((((B17*0.8)-(((B17*0.8)/40)*2))*$P$28)+((B17*0.8)/40))+((((C17*0.8)-(C17*0.8/40))*$P$28)+(C17*0.8/40)+(D17*0.8*$P$28)+(D17*0.8/40)+(E17*0.8*$P$28/2))</f>
        <v>22616</v>
      </c>
      <c r="J17" s="65"/>
    </row>
    <row r="18" spans="1:22" s="61" customFormat="1" ht="15" x14ac:dyDescent="0.25">
      <c r="A18" s="64" t="s">
        <v>97</v>
      </c>
      <c r="B18" s="65">
        <v>500000</v>
      </c>
      <c r="C18" s="65"/>
      <c r="D18" s="65"/>
      <c r="E18" s="65"/>
      <c r="F18" s="8">
        <f t="shared" si="0"/>
        <v>9060</v>
      </c>
      <c r="G18" s="8">
        <f>(B18*0.8*$N$28)+(B18*0.8/40)+((C18*0.8*$N$28/2))</f>
        <v>24920</v>
      </c>
      <c r="H18" s="8">
        <f>((((B18*0.8)-((B18*0.8)/40))*$O$28)+((B18*0.8)/40))+(((C18*0.8)*$O$28)+(C18*0.8/40)+(D18*0.8*$O$28/2))</f>
        <v>22948</v>
      </c>
      <c r="I18" s="8">
        <f>((((B18*0.8)-(((B18*0.8)/40)*2))*$P$28)+((B18*0.8)/40))+((((C18*0.8)-(C18*0.8/40))*$P$28)+(C18*0.8/40)+(D18*0.8*$P$28)+(D18*0.8/40)+(E18*0.8*$P$28/2))</f>
        <v>22616</v>
      </c>
      <c r="J18" s="65"/>
    </row>
    <row r="19" spans="1:22" s="61" customFormat="1" ht="15" x14ac:dyDescent="0.25">
      <c r="A19" s="64" t="s">
        <v>87</v>
      </c>
      <c r="B19" s="65">
        <v>2000000</v>
      </c>
      <c r="C19" s="65">
        <v>2000000</v>
      </c>
      <c r="D19" s="65">
        <v>1000000</v>
      </c>
      <c r="E19" s="65">
        <v>1000000</v>
      </c>
      <c r="F19" s="8">
        <f t="shared" si="0"/>
        <v>36240</v>
      </c>
      <c r="G19" s="8">
        <f>(B19*0.8*$N$28)+(B19*0.8/10)+((C19*0.8*$N$28/2))</f>
        <v>249520</v>
      </c>
      <c r="H19" s="8">
        <f>((((B19*0.8)-((B19*0.8)/10))*$O$28)+((B19*0.8)/10))+(((C19*0.8)*$O$28)+(C19*0.8/10)+(D19*0.8*$O$28/2))</f>
        <v>434208</v>
      </c>
      <c r="I19" s="8">
        <f>((((B19*0.8)-(((B19*0.8)/10)*2))*$P$28)+((B19*0.8)/10))+((((C19*0.8)-(C19*0.8/10))*$P$28)+(C19*0.8/10)+(D19*0.8*$P$28)+(D19*0.8/10)+(E19*0.8*$P$28/2))</f>
        <v>530144</v>
      </c>
      <c r="J19" s="65"/>
    </row>
    <row r="20" spans="1:22" s="61" customFormat="1" ht="15" x14ac:dyDescent="0.25">
      <c r="A20" s="64" t="s">
        <v>98</v>
      </c>
      <c r="B20" s="65">
        <v>40000000</v>
      </c>
      <c r="C20" s="65">
        <v>18300000</v>
      </c>
      <c r="D20" s="65"/>
      <c r="E20" s="65"/>
      <c r="F20" s="8">
        <v>0</v>
      </c>
      <c r="G20" s="8">
        <v>0</v>
      </c>
      <c r="H20" s="8">
        <v>0</v>
      </c>
      <c r="I20" s="8">
        <v>0</v>
      </c>
      <c r="J20" s="65"/>
    </row>
    <row r="21" spans="1:22" s="61" customFormat="1" ht="15" x14ac:dyDescent="0.25">
      <c r="A21" s="64" t="s">
        <v>99</v>
      </c>
      <c r="B21" s="65">
        <v>500000</v>
      </c>
      <c r="C21" s="65"/>
      <c r="D21" s="65"/>
      <c r="E21" s="65"/>
      <c r="F21" s="8">
        <f>B21*$M$28/2</f>
        <v>11325</v>
      </c>
      <c r="G21" s="8">
        <f>(B21*$N$28)+(B21/40)+((C21*$N$28/2))</f>
        <v>31150</v>
      </c>
      <c r="H21" s="8">
        <f>((((B21)-((B21)/40))*$O$28)+((B21)/40))+(((C21)*$O$28)+(C21/40)+(D21*$O$28/2))</f>
        <v>28685</v>
      </c>
      <c r="I21" s="8">
        <f>((((B21)-(((B21)/40)*2))*$P$28)+((B21)/40))+((((C21)-(C21/40))*$P$28)+(C21/40)+(D21*$P$28)+(D21/40)+(E21*$P$28/2))</f>
        <v>28270</v>
      </c>
      <c r="J21" s="65"/>
      <c r="L21" s="15" t="s">
        <v>11</v>
      </c>
      <c r="M21" s="66"/>
      <c r="N21" s="66"/>
      <c r="O21" s="66"/>
      <c r="P21" s="66"/>
      <c r="Q21" s="66"/>
      <c r="R21" s="66"/>
      <c r="S21" s="16"/>
      <c r="T21" s="16"/>
      <c r="U21" s="16"/>
      <c r="V21" s="17"/>
    </row>
    <row r="22" spans="1:22" s="61" customFormat="1" ht="15" x14ac:dyDescent="0.25">
      <c r="A22" s="64" t="s">
        <v>88</v>
      </c>
      <c r="B22" s="65">
        <v>500000</v>
      </c>
      <c r="C22" s="65"/>
      <c r="D22" s="65"/>
      <c r="E22" s="65"/>
      <c r="F22" s="8">
        <f>B22*0.8*$M$28/2</f>
        <v>9060</v>
      </c>
      <c r="G22" s="8">
        <f>(B22*0.8*$N$28)+(B22*0.8/40)+((C22*0.8*$N$28/2))</f>
        <v>24920</v>
      </c>
      <c r="H22" s="8">
        <f>((((B22*0.8)-((B22*0.8)/40))*$O$28)+((B22*0.8)/40))+(((C22*0.8)*$O$28)+(C22*0.8/40)+(D22*0.8*$O$28/2))</f>
        <v>22948</v>
      </c>
      <c r="I22" s="8">
        <f>((((B22*0.8)-(((B22*0.8)/40)*2))*$P$28)+((B22*0.8)/40))+((((C22*0.8)-(C22*0.8/40))*$P$28)+(C22*0.8/40)+(D22*0.8*$P$28)+(D22*0.8/40)+(E22*0.8*$P$28/2))</f>
        <v>22616</v>
      </c>
      <c r="J22" s="65"/>
      <c r="L22" s="67" t="s">
        <v>67</v>
      </c>
      <c r="M22" s="35"/>
      <c r="N22" s="35"/>
      <c r="O22" s="35"/>
      <c r="P22" s="35"/>
      <c r="Q22" s="35"/>
      <c r="R22" s="35"/>
      <c r="V22" s="18"/>
    </row>
    <row r="23" spans="1:22" s="61" customFormat="1" ht="15" x14ac:dyDescent="0.25">
      <c r="A23" s="64" t="s">
        <v>89</v>
      </c>
      <c r="B23" s="65">
        <v>1200000</v>
      </c>
      <c r="C23" s="65"/>
      <c r="D23" s="65"/>
      <c r="E23" s="65"/>
      <c r="F23" s="8">
        <f>B23*0.8*$M$28/2</f>
        <v>21744</v>
      </c>
      <c r="G23" s="8">
        <f>(B23*0.8*$N$28)+(B23*0.8/10)+((C23*0.8*$N$28/2))</f>
        <v>131808</v>
      </c>
      <c r="H23" s="8">
        <f>((((B23*0.8)-((B23*0.8)/10))*$O$28)+((B23*0.8)/10))+(((C23*0.8)*$O$28)+(C23*0.8/10)+(D23*0.8*$O$28/2))</f>
        <v>124684.8</v>
      </c>
      <c r="I23" s="8">
        <f>((((B23*0.8)-(((B23*0.8)/10)*2))*$P$28)+((B23*0.8)/10))+((((C23*0.8)-(C23*0.8/10))*$P$28)+(C23*0.8/10)+(D23*0.8*$P$28)+(D23*0.8/10)+(E23*0.8*$P$28/2))</f>
        <v>121497.60000000001</v>
      </c>
      <c r="J23" s="65"/>
      <c r="L23" s="67" t="s">
        <v>12</v>
      </c>
      <c r="V23" s="18"/>
    </row>
    <row r="24" spans="1:22" s="61" customFormat="1" ht="15" x14ac:dyDescent="0.25">
      <c r="A24" s="64" t="s">
        <v>90</v>
      </c>
      <c r="B24" s="65">
        <v>300000</v>
      </c>
      <c r="C24" s="65"/>
      <c r="D24" s="65"/>
      <c r="E24" s="65"/>
      <c r="F24" s="8">
        <f>B24*0.8*$M$28/2</f>
        <v>5436</v>
      </c>
      <c r="G24" s="8">
        <f>(B24*0.8*$N$28)+(B24*0.8/10)+((C24*0.8*$N$28/2))</f>
        <v>32952</v>
      </c>
      <c r="H24" s="8">
        <f>((((B24*0.8)-((B24*0.8)/10))*$O$28)+((B24*0.8)/10))+(((C24*0.8)*$O$28)+(C24*0.8/10)+(D24*0.8*$O$28/2))</f>
        <v>31171.200000000001</v>
      </c>
      <c r="I24" s="8">
        <f>((((B24*0.8)-(((B24*0.8)/10)*2))*$P$28)+((B24*0.8)/10))+((((C24*0.8)-(C24*0.8/10))*$P$28)+(C24*0.8/10)+(D24*0.8*$P$28)+(D24*0.8/10)+(E24*0.8*$P$28/2))</f>
        <v>30374.400000000001</v>
      </c>
      <c r="J24" s="65"/>
      <c r="L24" s="67" t="s">
        <v>13</v>
      </c>
      <c r="V24" s="18"/>
    </row>
    <row r="25" spans="1:22" s="61" customFormat="1" ht="15" x14ac:dyDescent="0.25">
      <c r="A25" s="64" t="s">
        <v>91</v>
      </c>
      <c r="B25" s="65">
        <v>300000</v>
      </c>
      <c r="C25" s="65"/>
      <c r="D25" s="65"/>
      <c r="E25" s="65"/>
      <c r="F25" s="8">
        <v>0</v>
      </c>
      <c r="G25" s="8">
        <v>0</v>
      </c>
      <c r="H25" s="8">
        <v>0</v>
      </c>
      <c r="I25" s="8">
        <v>0</v>
      </c>
      <c r="J25" s="65"/>
      <c r="L25" s="68" t="s">
        <v>14</v>
      </c>
      <c r="M25" s="19"/>
      <c r="N25" s="19"/>
      <c r="O25" s="19"/>
      <c r="P25" s="19"/>
      <c r="Q25" s="19"/>
      <c r="R25" s="19"/>
      <c r="S25" s="19"/>
      <c r="T25" s="19"/>
      <c r="U25" s="19"/>
      <c r="V25" s="20"/>
    </row>
    <row r="26" spans="1:22" s="61" customFormat="1" ht="15" x14ac:dyDescent="0.25">
      <c r="A26" s="64" t="s">
        <v>92</v>
      </c>
      <c r="B26" s="65">
        <v>300000</v>
      </c>
      <c r="C26" s="65"/>
      <c r="D26" s="65"/>
      <c r="E26" s="65"/>
      <c r="F26" s="8">
        <v>0</v>
      </c>
      <c r="G26" s="8">
        <v>0</v>
      </c>
      <c r="H26" s="8">
        <v>0</v>
      </c>
      <c r="I26" s="8">
        <v>0</v>
      </c>
      <c r="J26" s="65"/>
    </row>
    <row r="27" spans="1:22" s="61" customFormat="1" ht="15" x14ac:dyDescent="0.25">
      <c r="A27" s="64" t="s">
        <v>93</v>
      </c>
      <c r="B27" s="65"/>
      <c r="C27" s="65"/>
      <c r="D27" s="65">
        <v>3620000</v>
      </c>
      <c r="E27" s="65"/>
      <c r="F27" s="8">
        <f>B27*$M$28/2</f>
        <v>0</v>
      </c>
      <c r="G27" s="8">
        <f>(B27*$N$28)+(B27/40)+((C27*$N$28/2))</f>
        <v>0</v>
      </c>
      <c r="H27" s="8">
        <f>((((B27)-((B27)/40))*$O$28)+((B27)/40))+(((C27)*$O$28)+(C27/40)+(D27*$O$28/2))</f>
        <v>60092</v>
      </c>
      <c r="I27" s="8">
        <f>((((B27)-(((B27)/40)*2))*$P$28)+((B27/40))+((((C27)-(C27/40))*$P$28)+(C27/40)+(D27*$P$28)+(D27/40)+(E27*$P$28/2)))</f>
        <v>210684</v>
      </c>
      <c r="J27" s="65"/>
      <c r="L27" s="10"/>
      <c r="M27" s="10">
        <v>2025</v>
      </c>
      <c r="N27" s="10">
        <v>2026</v>
      </c>
      <c r="O27" s="10">
        <v>2027</v>
      </c>
      <c r="P27" s="10">
        <v>2028</v>
      </c>
    </row>
    <row r="28" spans="1:22" s="61" customFormat="1" ht="15" x14ac:dyDescent="0.25">
      <c r="A28" s="64" t="s">
        <v>94</v>
      </c>
      <c r="B28" s="65">
        <v>4000000</v>
      </c>
      <c r="C28" s="65">
        <v>4000000</v>
      </c>
      <c r="D28" s="65">
        <v>4000000</v>
      </c>
      <c r="E28" s="65">
        <v>4000000</v>
      </c>
      <c r="F28" s="8">
        <f>B28*$M$28/2</f>
        <v>90600</v>
      </c>
      <c r="G28" s="8">
        <f>(B28*$N$28)+(B28/40)+((C28*$N$28/2))</f>
        <v>323800</v>
      </c>
      <c r="H28" s="8">
        <f>((((B28)-((B28)/40))*$O$28)+((B28)/40))+(((C28)*$O$28)+(C28/40)+(D28*$O$28/2))</f>
        <v>528680</v>
      </c>
      <c r="I28" s="8">
        <f>((((B28)-(((B28)/40)*2))*$P$28)+((B28/40))+((((C28)-(C28/40))*$P$28)+(C28/40)+(D28*$P$28)+(D28/40)+(E28*$P$28/2)))</f>
        <v>754840</v>
      </c>
      <c r="J28" s="65"/>
      <c r="L28" s="71" t="s">
        <v>36</v>
      </c>
      <c r="M28" s="72">
        <v>4.53E-2</v>
      </c>
      <c r="N28" s="72">
        <v>3.73E-2</v>
      </c>
      <c r="O28" s="72">
        <v>3.32E-2</v>
      </c>
      <c r="P28" s="72">
        <v>3.32E-2</v>
      </c>
    </row>
    <row r="29" spans="1:22" s="61" customFormat="1" ht="15" x14ac:dyDescent="0.25">
      <c r="A29" s="64" t="s">
        <v>95</v>
      </c>
      <c r="B29" s="65">
        <v>10000000</v>
      </c>
      <c r="C29" s="65">
        <v>10000000</v>
      </c>
      <c r="D29" s="65">
        <v>10000000</v>
      </c>
      <c r="E29" s="65">
        <v>10000000</v>
      </c>
      <c r="F29" s="8">
        <f>B29*$M$28/2</f>
        <v>226500</v>
      </c>
      <c r="G29" s="8">
        <f>(B29*$N$28)+(B29/40)+((C29*$N$28/2))</f>
        <v>809500</v>
      </c>
      <c r="H29" s="8">
        <f>((((B29)-((B29)/40))*$O$28)+((B29)/40))+(((C29)*$O$28)+(C29/40)+(D29*$O$28/2))</f>
        <v>1321700</v>
      </c>
      <c r="I29" s="8">
        <f>((((B29)-(((B29)/40)*2))*$P$28)+((B29/40))+((((C29)-(C29/40))*$P$28)+(C29/40)+(D29*$P$28)+(D29/40)+(E29*$P$28/2)))</f>
        <v>1887100</v>
      </c>
      <c r="J29" s="65"/>
    </row>
    <row r="30" spans="1:22" s="61" customFormat="1" ht="15" x14ac:dyDescent="0.25">
      <c r="A30" s="64" t="s">
        <v>96</v>
      </c>
      <c r="B30" s="65">
        <v>100700000</v>
      </c>
      <c r="C30" s="65">
        <v>171200000</v>
      </c>
      <c r="D30" s="65">
        <v>131800000</v>
      </c>
      <c r="E30" s="65">
        <v>13400000</v>
      </c>
      <c r="F30" s="8">
        <f>B30*$M$28/2</f>
        <v>2280855</v>
      </c>
      <c r="G30" s="8">
        <f>(B30*$N$28)+(B30/40)+((C30*$N$28/2))</f>
        <v>9466490</v>
      </c>
      <c r="H30" s="8">
        <f>((((B30)-((B30)/40))*$O$28)+((B30)/40))+(((C30)*$O$28)+(C30/40)+(D30*$O$28/2))</f>
        <v>17928879</v>
      </c>
      <c r="I30" s="8">
        <f>((((B30)-(((B30)/40)*2))*$P$28)+((B30/40))+((((C30)-(C30/40))*$P$28)+(C30/40)+(D30*$P$28)+(D30/40)+(E30*$P$28/2)))</f>
        <v>23408522</v>
      </c>
      <c r="J30" s="65"/>
      <c r="L30" s="15" t="s">
        <v>37</v>
      </c>
      <c r="M30" s="69"/>
      <c r="N30" s="69"/>
      <c r="O30" s="69"/>
      <c r="P30" s="69"/>
      <c r="Q30" s="69"/>
      <c r="R30" s="69"/>
      <c r="S30" s="69"/>
      <c r="T30" s="69"/>
      <c r="U30" s="69"/>
      <c r="V30" s="70"/>
    </row>
    <row r="31" spans="1:22" s="61" customFormat="1" ht="15" x14ac:dyDescent="0.25">
      <c r="A31" s="11" t="s">
        <v>103</v>
      </c>
      <c r="B31" s="13">
        <f t="shared" ref="B31:I31" si="1">SUM(B10:B30)</f>
        <v>171300000</v>
      </c>
      <c r="C31" s="13">
        <f t="shared" si="1"/>
        <v>216500000</v>
      </c>
      <c r="D31" s="13">
        <f t="shared" si="1"/>
        <v>165920000</v>
      </c>
      <c r="E31" s="13">
        <f t="shared" si="1"/>
        <v>115900000</v>
      </c>
      <c r="F31" s="13">
        <f t="shared" si="1"/>
        <v>2904862.5</v>
      </c>
      <c r="G31" s="13">
        <f t="shared" si="1"/>
        <v>12302656.666666668</v>
      </c>
      <c r="H31" s="13">
        <f t="shared" si="1"/>
        <v>22566338</v>
      </c>
      <c r="I31" s="13">
        <f t="shared" si="1"/>
        <v>31078668</v>
      </c>
      <c r="J31" s="78"/>
      <c r="L31" s="67" t="s">
        <v>38</v>
      </c>
      <c r="M31" s="35"/>
      <c r="N31" s="35"/>
      <c r="O31" s="35"/>
      <c r="P31" s="35"/>
      <c r="Q31" s="35"/>
      <c r="R31" s="35"/>
      <c r="S31" s="35"/>
      <c r="T31" s="35"/>
      <c r="U31" s="35"/>
      <c r="V31" s="18"/>
    </row>
    <row r="32" spans="1:22" s="61" customFormat="1" ht="15" x14ac:dyDescent="0.25">
      <c r="A32" s="10" t="s">
        <v>104</v>
      </c>
      <c r="B32" s="12">
        <v>171300000</v>
      </c>
      <c r="C32" s="12">
        <v>216500000</v>
      </c>
      <c r="D32" s="12">
        <v>165920000</v>
      </c>
      <c r="E32" s="12">
        <v>115900000</v>
      </c>
      <c r="F32" s="12">
        <v>2904862.5</v>
      </c>
      <c r="G32" s="12">
        <v>12302656.666666668</v>
      </c>
      <c r="H32" s="12">
        <v>22566338</v>
      </c>
      <c r="I32" s="12">
        <v>31078668</v>
      </c>
      <c r="J32" s="12"/>
      <c r="L32" s="67" t="s">
        <v>39</v>
      </c>
      <c r="M32" s="35"/>
      <c r="N32" s="35"/>
      <c r="O32" s="35"/>
      <c r="P32" s="35"/>
      <c r="Q32" s="35"/>
      <c r="R32" s="35"/>
      <c r="S32" s="35"/>
      <c r="T32" s="35"/>
      <c r="U32" s="35"/>
      <c r="V32" s="18"/>
    </row>
    <row r="33" spans="1:22" s="61" customFormat="1" ht="15" x14ac:dyDescent="0.25">
      <c r="A33" s="21" t="s">
        <v>105</v>
      </c>
      <c r="B33" s="22">
        <f>B31-B32</f>
        <v>0</v>
      </c>
      <c r="C33" s="22">
        <f t="shared" ref="C33:I33" si="2">C31-C32</f>
        <v>0</v>
      </c>
      <c r="D33" s="22">
        <f t="shared" si="2"/>
        <v>0</v>
      </c>
      <c r="E33" s="22">
        <f t="shared" si="2"/>
        <v>0</v>
      </c>
      <c r="F33" s="22">
        <f t="shared" si="2"/>
        <v>0</v>
      </c>
      <c r="G33" s="22">
        <f t="shared" si="2"/>
        <v>0</v>
      </c>
      <c r="H33" s="22">
        <f t="shared" si="2"/>
        <v>0</v>
      </c>
      <c r="I33" s="22">
        <f t="shared" si="2"/>
        <v>0</v>
      </c>
      <c r="J33" s="22"/>
      <c r="L33" s="67" t="s">
        <v>41</v>
      </c>
      <c r="M33" s="35"/>
      <c r="N33" s="35"/>
      <c r="O33" s="35"/>
      <c r="P33" s="35"/>
      <c r="Q33" s="35"/>
      <c r="R33" s="35"/>
      <c r="S33" s="35"/>
      <c r="T33" s="35"/>
      <c r="U33" s="35"/>
      <c r="V33" s="18"/>
    </row>
    <row r="34" spans="1:22" s="61" customFormat="1" ht="1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L34" s="67" t="s">
        <v>45</v>
      </c>
      <c r="M34" s="35"/>
      <c r="N34" s="35"/>
      <c r="O34" s="35"/>
      <c r="P34" s="35"/>
      <c r="Q34" s="35"/>
      <c r="R34" s="35"/>
      <c r="S34" s="35"/>
      <c r="T34" s="35"/>
      <c r="U34" s="35"/>
      <c r="V34" s="18"/>
    </row>
    <row r="35" spans="1:22" s="61" customFormat="1" ht="15" x14ac:dyDescent="0.25">
      <c r="A35" s="10" t="s">
        <v>102</v>
      </c>
      <c r="B35" s="80" t="s">
        <v>6</v>
      </c>
      <c r="C35" s="81"/>
      <c r="D35" s="81"/>
      <c r="E35" s="82"/>
      <c r="F35" s="80" t="s">
        <v>7</v>
      </c>
      <c r="G35" s="81"/>
      <c r="H35" s="81"/>
      <c r="I35" s="82"/>
      <c r="J35" s="42"/>
      <c r="L35" s="68" t="s">
        <v>46</v>
      </c>
      <c r="M35" s="19"/>
      <c r="N35" s="19"/>
      <c r="O35" s="19"/>
      <c r="P35" s="19"/>
      <c r="Q35" s="19"/>
      <c r="R35" s="19"/>
      <c r="S35" s="19"/>
      <c r="T35" s="19"/>
      <c r="U35" s="19"/>
      <c r="V35" s="20"/>
    </row>
    <row r="36" spans="1:22" ht="15" x14ac:dyDescent="0.25">
      <c r="A36" s="10" t="s">
        <v>34</v>
      </c>
      <c r="B36" s="10">
        <v>2025</v>
      </c>
      <c r="C36" s="10">
        <v>2026</v>
      </c>
      <c r="D36" s="10">
        <v>2027</v>
      </c>
      <c r="E36" s="10">
        <v>2028</v>
      </c>
      <c r="F36" s="10">
        <v>2025</v>
      </c>
      <c r="G36" s="10">
        <v>2026</v>
      </c>
      <c r="H36" s="10">
        <v>2027</v>
      </c>
      <c r="I36" s="10">
        <v>2028</v>
      </c>
      <c r="J36" s="8"/>
    </row>
    <row r="37" spans="1:22" ht="15" x14ac:dyDescent="0.25">
      <c r="A37" s="64"/>
      <c r="B37" s="65"/>
      <c r="C37" s="65"/>
      <c r="D37" s="65"/>
      <c r="E37" s="65"/>
      <c r="F37" s="8">
        <f>B37*0.8*$M$28/2</f>
        <v>0</v>
      </c>
      <c r="G37" s="8">
        <f>(B37*0.8*$N$28)+(B37*0.8/5)+((C37*0.8*$N$28/2))</f>
        <v>0</v>
      </c>
      <c r="H37" s="8">
        <f>((((B37*0.8)-((B37*0.8)/5))*$O$28)+((B37*0.8)/5))+(((C37*0.8)*$O$28)+(C37*0.8/5)+(D37*0.8*$O$28/2))</f>
        <v>0</v>
      </c>
      <c r="I37" s="8">
        <f>((((B37*0.8)-(((B37*0.8)/5)*2))*$P$28)+((B37*0.8)/5))+((((C37*0.8)-(C37*0.8/5))*$P$28)+(C37*0.8/5)+(D37*0.8*$P$28)+(D37*0.8/5)+(E37*0.8*$P$28/2))</f>
        <v>0</v>
      </c>
      <c r="J37" s="65"/>
    </row>
    <row r="38" spans="1:22" ht="15" x14ac:dyDescent="0.25">
      <c r="A38" s="64"/>
      <c r="B38" s="65"/>
      <c r="C38" s="65"/>
      <c r="D38" s="65"/>
      <c r="E38" s="65"/>
      <c r="F38" s="8">
        <f>B38*0.8*$M$28/2</f>
        <v>0</v>
      </c>
      <c r="G38" s="8">
        <f>(B38*0.8*$N$28)+(B38*0.8/5)+((C38*0.8*$N$28/2))</f>
        <v>0</v>
      </c>
      <c r="H38" s="8">
        <f>((((B38*0.8)-((B38*0.8)/5))*$O$28)+((B38*0.8)/5))+(((C38*0.8)*$O$28)+(C38*0.8/5)+(D38*0.8*$O$28/2))</f>
        <v>0</v>
      </c>
      <c r="I38" s="8">
        <f>((((B38*0.8)-(((B38*0.8)/5)*2))*$P$28)+((B38*0.8)/5))+((((C38*0.8)-(C38*0.8/5))*$P$28)+(C38*0.8/5)+(D38*0.8*$P$28)+(D38*0.8/5)+(E38*0.8*$P$28/2))</f>
        <v>0</v>
      </c>
      <c r="J38" s="65"/>
    </row>
    <row r="39" spans="1:22" ht="15" x14ac:dyDescent="0.25">
      <c r="A39" s="64"/>
      <c r="B39" s="65"/>
      <c r="C39" s="65"/>
      <c r="D39" s="65"/>
      <c r="E39" s="65"/>
      <c r="F39" s="8">
        <f>B39*0.8*$M$28/2</f>
        <v>0</v>
      </c>
      <c r="G39" s="8">
        <f>(B39*0.8*$N$28)+(B39*0.8/5)+((C39*0.8*$N$28/2))</f>
        <v>0</v>
      </c>
      <c r="H39" s="8">
        <f>((((B39*0.8)-((B39*0.8)/5))*$O$28)+((B39*0.8)/5))+(((C39*0.8)*$O$28)+(C39*0.8/5)+(D39*0.8*$O$28/2))</f>
        <v>0</v>
      </c>
      <c r="I39" s="8">
        <f>((((B39*0.8)-(((B39*0.8)/5)*2))*$P$28)+((B39*0.8)/5))+((((C39*0.8)-(C39*0.8/5))*$P$28)+(C39*0.8/5)+(D39*0.8*$P$28)+(D39*0.8/5)+(E39*0.8*$P$28/2))</f>
        <v>0</v>
      </c>
      <c r="J39" s="65"/>
    </row>
    <row r="40" spans="1:22" ht="15" x14ac:dyDescent="0.25">
      <c r="A40" s="10" t="s">
        <v>8</v>
      </c>
      <c r="B40" s="12">
        <f t="shared" ref="B40:I40" si="3">SUM(B37:B39)</f>
        <v>0</v>
      </c>
      <c r="C40" s="12">
        <f t="shared" si="3"/>
        <v>0</v>
      </c>
      <c r="D40" s="12">
        <f t="shared" si="3"/>
        <v>0</v>
      </c>
      <c r="E40" s="12">
        <f t="shared" si="3"/>
        <v>0</v>
      </c>
      <c r="F40" s="12">
        <f t="shared" si="3"/>
        <v>0</v>
      </c>
      <c r="G40" s="12">
        <f t="shared" si="3"/>
        <v>0</v>
      </c>
      <c r="H40" s="12">
        <f t="shared" si="3"/>
        <v>0</v>
      </c>
      <c r="I40" s="12">
        <f t="shared" si="3"/>
        <v>0</v>
      </c>
      <c r="J40" s="12"/>
    </row>
    <row r="41" spans="1:22" ht="15" x14ac:dyDescent="0.25">
      <c r="A41"/>
      <c r="B41" s="1"/>
      <c r="C41" s="1"/>
      <c r="D41" s="1"/>
      <c r="E41" s="1"/>
      <c r="F41" s="1"/>
      <c r="G41" s="1"/>
      <c r="H41" s="1"/>
      <c r="I41" s="1"/>
      <c r="J41" s="1"/>
    </row>
    <row r="42" spans="1:22" ht="15" x14ac:dyDescent="0.25">
      <c r="A42" s="10" t="s">
        <v>43</v>
      </c>
      <c r="B42" s="10">
        <v>2025</v>
      </c>
      <c r="C42" s="10">
        <v>2026</v>
      </c>
      <c r="D42" s="10">
        <v>2027</v>
      </c>
      <c r="E42" s="10">
        <v>2028</v>
      </c>
      <c r="F42" s="10">
        <v>2025</v>
      </c>
      <c r="G42" s="10">
        <v>2026</v>
      </c>
      <c r="H42" s="10">
        <v>2027</v>
      </c>
      <c r="I42" s="10">
        <v>2028</v>
      </c>
      <c r="J42" s="10" t="s">
        <v>20</v>
      </c>
    </row>
    <row r="43" spans="1:22" ht="15" x14ac:dyDescent="0.25">
      <c r="A43" s="64"/>
      <c r="B43" s="65"/>
      <c r="C43" s="65"/>
      <c r="D43" s="65"/>
      <c r="E43" s="65"/>
      <c r="F43" s="8">
        <f>B43*0.8*$M$28/2</f>
        <v>0</v>
      </c>
      <c r="G43" s="8">
        <f>(B43*0.8*$N$28)+(B43*0.8/10)+((C43*0.8*$N$28/2))</f>
        <v>0</v>
      </c>
      <c r="H43" s="8">
        <f>((((B43*0.8)-((B43*0.8)/10))*$O$28)+((B43*0.8)/10))+(((C43*0.8)*$O$28)+(C43*0.8/10)+(D43*0.8*$O$28/2))</f>
        <v>0</v>
      </c>
      <c r="I43" s="8">
        <f>((((B43*0.8)-(((B43*0.8)/10)*2))*$P$28)+((B43*0.8)/10))+((((C43*0.8)-(C43*0.8/10))*$P$28)+(C43*0.8/10)+(D43*0.8*$P$28)+(D43*0.8/10)+(E43*0.8*$P$28/2))</f>
        <v>0</v>
      </c>
      <c r="J43" s="65"/>
    </row>
    <row r="44" spans="1:22" ht="15" x14ac:dyDescent="0.25">
      <c r="A44" s="64"/>
      <c r="B44" s="65"/>
      <c r="C44" s="65"/>
      <c r="D44" s="65"/>
      <c r="E44" s="65"/>
      <c r="F44" s="8">
        <f>B44*0.8*$M$28/2</f>
        <v>0</v>
      </c>
      <c r="G44" s="8">
        <f>(B44*0.8*$N$28)+(B44*0.8/10)+((C44*0.8*$N$28/2))</f>
        <v>0</v>
      </c>
      <c r="H44" s="8">
        <f>((((B44*0.8)-((B44*0.8)/10))*$O$28)+((B44*0.8)/10))+(((C44*0.8)*$O$28)+(C44*0.8/10)+(D44*0.8*$O$28/2))</f>
        <v>0</v>
      </c>
      <c r="I44" s="8">
        <f>((((B44*0.8)-(((B44*0.8)/10)*2))*$P$28)+((B44*0.8)/10))+((((C44*0.8)-(C44*0.8/10))*$P$28)+(C44*0.8/10)+(D44*0.8*$P$28)+(D44*0.8/10)+(E44*0.8*$P$28/2))</f>
        <v>0</v>
      </c>
      <c r="J44" s="65"/>
    </row>
    <row r="45" spans="1:22" ht="15" x14ac:dyDescent="0.25">
      <c r="A45" s="64"/>
      <c r="B45" s="65"/>
      <c r="C45" s="65"/>
      <c r="D45" s="65"/>
      <c r="E45" s="65"/>
      <c r="F45" s="8">
        <f>B45*0.8*$M$28/2</f>
        <v>0</v>
      </c>
      <c r="G45" s="8">
        <f>(B45*0.8*$N$28)+(B45*0.8/10)+((C45*0.8*$N$28/2))</f>
        <v>0</v>
      </c>
      <c r="H45" s="8">
        <f>((((B45*0.8)-((B45*0.8)/10))*$O$28)+((B45*0.8)/10))+(((C45*0.8)*$O$28)+(C45*0.8/10)+(D45*0.8*$O$28/2))</f>
        <v>0</v>
      </c>
      <c r="I45" s="8">
        <f>((((B45*0.8)-(((B45*0.8)/10)*2))*$P$28)+((B45*0.8)/10))+((((C45*0.8)-(C45*0.8/10))*$P$28)+(C45*0.8/10)+(D45*0.8*$P$28)+(D45*0.8/10)+(E45*0.8*$P$28/2))</f>
        <v>0</v>
      </c>
      <c r="J45" s="65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</row>
    <row r="46" spans="1:22" ht="15" x14ac:dyDescent="0.25">
      <c r="A46" s="10" t="s">
        <v>8</v>
      </c>
      <c r="B46" s="12">
        <f t="shared" ref="B46:I46" si="4">SUM(B43:B45)</f>
        <v>0</v>
      </c>
      <c r="C46" s="12">
        <f t="shared" si="4"/>
        <v>0</v>
      </c>
      <c r="D46" s="12">
        <f t="shared" si="4"/>
        <v>0</v>
      </c>
      <c r="E46" s="12">
        <f t="shared" si="4"/>
        <v>0</v>
      </c>
      <c r="F46" s="12">
        <f t="shared" si="4"/>
        <v>0</v>
      </c>
      <c r="G46" s="12">
        <f t="shared" si="4"/>
        <v>0</v>
      </c>
      <c r="H46" s="12">
        <f t="shared" si="4"/>
        <v>0</v>
      </c>
      <c r="I46" s="12">
        <f t="shared" si="4"/>
        <v>0</v>
      </c>
      <c r="J46" s="1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</row>
    <row r="47" spans="1:22" ht="15" x14ac:dyDescent="0.25">
      <c r="B47" s="1"/>
      <c r="C47" s="1"/>
      <c r="D47" s="1"/>
      <c r="E47" s="1"/>
      <c r="F47" s="1"/>
      <c r="G47" s="1"/>
      <c r="H47" s="1"/>
      <c r="I47" s="1"/>
      <c r="J47" s="1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</row>
    <row r="48" spans="1:22" ht="15" x14ac:dyDescent="0.25">
      <c r="A48" s="10" t="s">
        <v>35</v>
      </c>
      <c r="B48" s="10">
        <v>2025</v>
      </c>
      <c r="C48" s="10">
        <v>2026</v>
      </c>
      <c r="D48" s="10">
        <v>2027</v>
      </c>
      <c r="E48" s="10">
        <v>2028</v>
      </c>
      <c r="F48" s="10">
        <v>2025</v>
      </c>
      <c r="G48" s="10">
        <v>2026</v>
      </c>
      <c r="H48" s="10">
        <v>2027</v>
      </c>
      <c r="I48" s="10">
        <v>2028</v>
      </c>
      <c r="J48" s="10" t="s">
        <v>20</v>
      </c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</row>
    <row r="49" spans="1:22" ht="15" x14ac:dyDescent="0.25">
      <c r="A49" s="64"/>
      <c r="B49" s="65"/>
      <c r="C49" s="65"/>
      <c r="D49" s="65"/>
      <c r="E49" s="65"/>
      <c r="F49" s="8">
        <f>B49*0.8*$M$28/2</f>
        <v>0</v>
      </c>
      <c r="G49" s="8">
        <f>(B49*0.8*$N$28)+(B49*0.8/20)+((C49*0.8*$N$28/2))</f>
        <v>0</v>
      </c>
      <c r="H49" s="8">
        <f>((((B49*0.8)-((B49*0.8)/20))*$O$28)+((B49*0.8)/20))+(((C49*0.8)*$O$28)+(C49*0.8/20)+(D49*0.8*$O$28/2))</f>
        <v>0</v>
      </c>
      <c r="I49" s="8">
        <f>((((B49*0.8)-(((B49*0.8)/20)*2))*$P$28)+((B49*0.8)/20))+((((C49*0.8)-(C49*0.8/20))*$P$28)+(C49*0.8/20)+(D49*0.8*$P$28)+(D49*0.8/20)+(E49*0.8*$P$28/2))</f>
        <v>0</v>
      </c>
      <c r="J49" s="65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</row>
    <row r="50" spans="1:22" ht="15" x14ac:dyDescent="0.25">
      <c r="A50" s="64"/>
      <c r="B50" s="65"/>
      <c r="C50" s="65"/>
      <c r="D50" s="65"/>
      <c r="E50" s="65"/>
      <c r="F50" s="8">
        <f>B50*0.8*$M$28/2</f>
        <v>0</v>
      </c>
      <c r="G50" s="8">
        <f>(B50*0.8*$N$28)+(B50*0.8/20)+((C50*0.8*$N$28/2))</f>
        <v>0</v>
      </c>
      <c r="H50" s="8">
        <f>((((B50*0.8)-((B50*0.8)/20))*$O$28)+((B50*0.8)/20))+(((C50*0.8)*$O$28)+(C50*0.8/20)+(D50*0.8*$O$28/2))</f>
        <v>0</v>
      </c>
      <c r="I50" s="8">
        <f>((((B50*0.8)-(((B50*0.8)/20)*2))*$P$28)+((B50*0.8)/20))+((((C50*0.8)-(C50*0.8/20))*$P$28)+(C50*0.8/20)+(D50*0.8*$P$28)+(D50*0.8/20)+(E50*0.8*$P$28/2))</f>
        <v>0</v>
      </c>
      <c r="J50" s="65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</row>
    <row r="51" spans="1:22" ht="15" x14ac:dyDescent="0.25">
      <c r="A51" s="64"/>
      <c r="B51" s="65"/>
      <c r="C51" s="65"/>
      <c r="D51" s="65"/>
      <c r="E51" s="65"/>
      <c r="F51" s="8">
        <f>B51*0.8*$M$28/2</f>
        <v>0</v>
      </c>
      <c r="G51" s="8">
        <f>(B51*0.8*$N$28)+(B51*0.8/20)+((C51*0.8*$N$28/2))</f>
        <v>0</v>
      </c>
      <c r="H51" s="8">
        <f>((((B51*0.8)-((B51*0.8)/20))*$O$28)+((B51*0.8)/20))+(((C51*0.8)*$O$28)+(C51*0.8/20)+(D51*0.8*$O$28/2))</f>
        <v>0</v>
      </c>
      <c r="I51" s="8">
        <f>((((B51*0.8)-(((B51*0.8)/20)*2))*$P$28)+((B51*0.8)/20))+((((C51*0.8)-(C51*0.8/20))*$P$28)+(C51*0.8/20)+(D51*0.8*$P$28)+(D51*0.8/20)+(E51*0.8*$P$28/2))</f>
        <v>0</v>
      </c>
      <c r="J51" s="65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</row>
    <row r="52" spans="1:22" ht="15" x14ac:dyDescent="0.25">
      <c r="A52" s="10" t="s">
        <v>8</v>
      </c>
      <c r="B52" s="12">
        <f t="shared" ref="B52:I52" si="5">SUM(B49:B51)</f>
        <v>0</v>
      </c>
      <c r="C52" s="12">
        <f t="shared" si="5"/>
        <v>0</v>
      </c>
      <c r="D52" s="12">
        <f t="shared" si="5"/>
        <v>0</v>
      </c>
      <c r="E52" s="12">
        <f t="shared" si="5"/>
        <v>0</v>
      </c>
      <c r="F52" s="12">
        <f t="shared" si="5"/>
        <v>0</v>
      </c>
      <c r="G52" s="12">
        <f t="shared" si="5"/>
        <v>0</v>
      </c>
      <c r="H52" s="12">
        <f t="shared" si="5"/>
        <v>0</v>
      </c>
      <c r="I52" s="12">
        <f t="shared" si="5"/>
        <v>0</v>
      </c>
      <c r="J52" s="1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</row>
    <row r="54" spans="1:22" ht="15" x14ac:dyDescent="0.25">
      <c r="A54" s="10" t="s">
        <v>40</v>
      </c>
      <c r="B54" s="10">
        <v>2025</v>
      </c>
      <c r="C54" s="10">
        <v>2026</v>
      </c>
      <c r="D54" s="10">
        <v>2027</v>
      </c>
      <c r="E54" s="10">
        <v>2028</v>
      </c>
      <c r="F54" s="10">
        <v>2025</v>
      </c>
      <c r="G54" s="10">
        <v>2026</v>
      </c>
      <c r="H54" s="10">
        <v>2027</v>
      </c>
      <c r="I54" s="10">
        <v>2028</v>
      </c>
      <c r="J54" s="10" t="s">
        <v>20</v>
      </c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</row>
    <row r="55" spans="1:22" ht="15" x14ac:dyDescent="0.25">
      <c r="A55" s="64"/>
      <c r="B55" s="65"/>
      <c r="C55" s="65"/>
      <c r="D55" s="65"/>
      <c r="E55" s="65"/>
      <c r="F55" s="8">
        <f>B55*0.8*$M$28/2</f>
        <v>0</v>
      </c>
      <c r="G55" s="8">
        <f>(B55*0.8*$N$28)+(B55*0.8/40)+((C55*0.8*$N$28/2))</f>
        <v>0</v>
      </c>
      <c r="H55" s="8">
        <f>((((B55*0.8)-((B55*0.8)/40))*$O$28)+((B55*0.8)/40))+(((C55*0.8)*$O$28)+(C55*0.8/40)+(D55*0.8*$O$28/2))</f>
        <v>0</v>
      </c>
      <c r="I55" s="8">
        <f>((((B55*0.8)-(((B55*0.8)/40)*2))*$P$28)+((B55*0.8)/40))+((((C55*0.8)-(C55*0.8/40))*$P$28)+(C55*0.8/40)+(D55*0.8*$P$28)+(D55*0.8/40)+(E55*0.8*$P$28/2))</f>
        <v>0</v>
      </c>
      <c r="J55" s="65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</row>
    <row r="56" spans="1:22" ht="15" x14ac:dyDescent="0.25">
      <c r="A56" s="64"/>
      <c r="B56" s="65"/>
      <c r="C56" s="65"/>
      <c r="D56" s="65"/>
      <c r="E56" s="65"/>
      <c r="F56" s="8">
        <f>B56*0.8*$M$28/2</f>
        <v>0</v>
      </c>
      <c r="G56" s="8">
        <f>(B56*0.8*$N$28)+(B56*0.8/40)+((C56*0.8*$N$28/2))</f>
        <v>0</v>
      </c>
      <c r="H56" s="8">
        <f>((((B56*0.8)-((B56*0.8)/40))*$O$28)+((B56*0.8)/40))+(((C56*0.8)*$O$28)+(C56*0.8/40)+(D56*0.8*$O$28/2))</f>
        <v>0</v>
      </c>
      <c r="I56" s="8">
        <f>((((B56*0.8)-(((B56*0.8)/40)*2))*$P$28)+((B56*0.8)/40))+((((C56*0.8)-(C56*0.8/40))*$P$28)+(C56*0.8/40)+(D56*0.8*$P$28)+(D56*0.8/40)+(E56*0.8*$P$28/2))</f>
        <v>0</v>
      </c>
      <c r="J56" s="65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</row>
    <row r="57" spans="1:22" ht="15" x14ac:dyDescent="0.25">
      <c r="A57" s="64"/>
      <c r="B57" s="65"/>
      <c r="C57" s="65"/>
      <c r="D57" s="65"/>
      <c r="E57" s="65"/>
      <c r="F57" s="8">
        <f>B57*0.8*$M$28/2</f>
        <v>0</v>
      </c>
      <c r="G57" s="8">
        <f>(B57*0.8*$N$28)+(B57*0.8/40)+((C57*0.8*$N$28/2))</f>
        <v>0</v>
      </c>
      <c r="H57" s="8">
        <f>((((B57*0.8)-((B57*0.8)/40))*$O$28)+((B57*0.8)/40))+(((C57*0.8)*$O$28)+(C57*0.8/40)+(D57*0.8*$O$28/2))</f>
        <v>0</v>
      </c>
      <c r="I57" s="8">
        <f>((((B57*0.8)-(((B57*0.8)/40)*2))*$P$28)+((B57*0.8)/40))+((((C57*0.8)-(C57*0.8/40))*$P$28)+(C57*0.8/40)+(D57*0.8*$P$28)+(D57*0.8/40)+(E57*0.8*$P$28/2))</f>
        <v>0</v>
      </c>
      <c r="J57" s="65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</row>
    <row r="58" spans="1:22" ht="15" x14ac:dyDescent="0.25">
      <c r="A58" s="10" t="s">
        <v>8</v>
      </c>
      <c r="B58" s="12">
        <f t="shared" ref="B58:I58" si="6">SUM(B55:B57)</f>
        <v>0</v>
      </c>
      <c r="C58" s="12">
        <f t="shared" si="6"/>
        <v>0</v>
      </c>
      <c r="D58" s="12">
        <f t="shared" si="6"/>
        <v>0</v>
      </c>
      <c r="E58" s="12">
        <f t="shared" si="6"/>
        <v>0</v>
      </c>
      <c r="F58" s="12">
        <f t="shared" si="6"/>
        <v>0</v>
      </c>
      <c r="G58" s="12">
        <f t="shared" si="6"/>
        <v>0</v>
      </c>
      <c r="H58" s="12">
        <f t="shared" si="6"/>
        <v>0</v>
      </c>
      <c r="I58" s="12">
        <f t="shared" si="6"/>
        <v>0</v>
      </c>
      <c r="J58" s="1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</row>
    <row r="59" spans="1:22" ht="15" x14ac:dyDescent="0.25">
      <c r="A59"/>
      <c r="B59"/>
      <c r="C59"/>
      <c r="D59"/>
      <c r="E59"/>
      <c r="F59"/>
      <c r="G59"/>
      <c r="H59"/>
      <c r="I59"/>
      <c r="J59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</row>
    <row r="60" spans="1:22" ht="15" x14ac:dyDescent="0.25">
      <c r="A60" s="10" t="s">
        <v>42</v>
      </c>
      <c r="B60" s="10">
        <v>2025</v>
      </c>
      <c r="C60" s="10">
        <v>2026</v>
      </c>
      <c r="D60" s="10">
        <v>2027</v>
      </c>
      <c r="E60" s="10">
        <v>2028</v>
      </c>
      <c r="F60" s="10">
        <v>2025</v>
      </c>
      <c r="G60" s="10">
        <v>2026</v>
      </c>
      <c r="H60" s="10">
        <v>2027</v>
      </c>
      <c r="I60" s="10">
        <v>2028</v>
      </c>
      <c r="J60" s="10" t="s">
        <v>20</v>
      </c>
    </row>
    <row r="61" spans="1:22" ht="15" x14ac:dyDescent="0.25">
      <c r="A61" s="64"/>
      <c r="B61" s="65"/>
      <c r="C61" s="65"/>
      <c r="D61" s="65"/>
      <c r="E61" s="65"/>
      <c r="F61" s="8">
        <f>B61*0.8*$M$28/2</f>
        <v>0</v>
      </c>
      <c r="G61" s="8">
        <f>(B61*0.8*$N$28)+(B61*0.8/50)+((C61*0.8*$N$28/2))</f>
        <v>0</v>
      </c>
      <c r="H61" s="8">
        <f>((((B61*0.8)-((B61*0.8)/50))*$O$28)+((B61*0.8)/50))+(((C61*0.8)*$O$28)+(C61*0.8/50)+(D61*0.8*$O$28/2))</f>
        <v>0</v>
      </c>
      <c r="I61" s="8">
        <f>((((B61*0.8)-(((B61*0.8)/50)*2))*$P$28)+((B61*0.8)/50))+((((C61*0.8)-(C61*0.8/50))*$P$28)+(C61*0.8/50)+(D61*0.8*$P$28)+(D61*0.8/50)+(E61*0.8*$P$28/2))</f>
        <v>0</v>
      </c>
      <c r="J61" s="65"/>
    </row>
    <row r="62" spans="1:22" ht="15" x14ac:dyDescent="0.25">
      <c r="A62" s="64"/>
      <c r="B62" s="65"/>
      <c r="C62" s="65"/>
      <c r="D62" s="65"/>
      <c r="E62" s="65"/>
      <c r="F62" s="8">
        <f>B62*0.8*$M$28/2</f>
        <v>0</v>
      </c>
      <c r="G62" s="8">
        <f>(B62*0.8*$N$28)+(B62*0.8/50)+((C62*0.8*$N$28/2))</f>
        <v>0</v>
      </c>
      <c r="H62" s="8">
        <f>((((B62*0.8)-((B62*0.8)/50))*$O$28)+((B62*0.8)/50))+(((C62*0.8)*$O$28)+(C62*0.8/50)+(D62*0.8*$O$28/2))</f>
        <v>0</v>
      </c>
      <c r="I62" s="8">
        <f>((((B62*0.8)-(((B62*0.8)/50)*2))*$P$28)+((B62*0.8)/50))+((((C62*0.8)-(C62*0.8/50))*$P$28)+(C62*0.8/50)+(D62*0.8*$P$28)+(D62*0.8/50)+(E62*0.8*$P$28/2))</f>
        <v>0</v>
      </c>
      <c r="J62" s="65"/>
    </row>
    <row r="63" spans="1:22" ht="15" x14ac:dyDescent="0.25">
      <c r="A63" s="64"/>
      <c r="B63" s="65"/>
      <c r="C63" s="65"/>
      <c r="D63" s="65"/>
      <c r="E63" s="65"/>
      <c r="F63" s="8">
        <f>B63*0.8*$M$28/2</f>
        <v>0</v>
      </c>
      <c r="G63" s="8">
        <f>(B63*0.8*$N$28)+(B63*0.8/50)+((C63*0.8*$N$28/2))</f>
        <v>0</v>
      </c>
      <c r="H63" s="8">
        <f>((((B63*0.8)-((B63*0.8)/50))*$O$28)+((B63*0.8)/50))+(((C63*0.8)*$O$28)+(C63*0.8/50)+(D63*0.8*$O$28/2))</f>
        <v>0</v>
      </c>
      <c r="I63" s="8">
        <f>((((B63*0.8)-(((B63*0.8)/50)*2))*$P$28)+((B63*0.8)/50))+((((C63*0.8)-(C63*0.8/50))*$P$28)+(C63*0.8/50)+(D63*0.8*$P$28)+(D63*0.8/50)+(E63*0.8*$P$28/2))</f>
        <v>0</v>
      </c>
      <c r="J63" s="65"/>
    </row>
    <row r="64" spans="1:22" ht="15" x14ac:dyDescent="0.25">
      <c r="A64" s="10" t="s">
        <v>8</v>
      </c>
      <c r="B64" s="12">
        <f t="shared" ref="B64:I64" si="7">SUM(B61:B63)</f>
        <v>0</v>
      </c>
      <c r="C64" s="12">
        <f t="shared" si="7"/>
        <v>0</v>
      </c>
      <c r="D64" s="12">
        <f t="shared" si="7"/>
        <v>0</v>
      </c>
      <c r="E64" s="12">
        <f t="shared" si="7"/>
        <v>0</v>
      </c>
      <c r="F64" s="12">
        <f t="shared" si="7"/>
        <v>0</v>
      </c>
      <c r="G64" s="12">
        <f t="shared" si="7"/>
        <v>0</v>
      </c>
      <c r="H64" s="12">
        <f t="shared" si="7"/>
        <v>0</v>
      </c>
      <c r="I64" s="12">
        <f t="shared" si="7"/>
        <v>0</v>
      </c>
      <c r="J64" s="12"/>
    </row>
    <row r="65" spans="1:10" ht="15" x14ac:dyDescent="0.25">
      <c r="A65"/>
      <c r="B65"/>
      <c r="C65"/>
      <c r="D65"/>
      <c r="E65"/>
      <c r="F65"/>
      <c r="G65"/>
      <c r="H65"/>
      <c r="I65"/>
      <c r="J65"/>
    </row>
    <row r="66" spans="1:10" ht="15" x14ac:dyDescent="0.25">
      <c r="A66" s="10" t="s">
        <v>44</v>
      </c>
      <c r="B66" s="10">
        <v>2025</v>
      </c>
      <c r="C66" s="10">
        <v>2026</v>
      </c>
      <c r="D66" s="10">
        <v>2027</v>
      </c>
      <c r="E66" s="10">
        <v>2028</v>
      </c>
      <c r="F66" s="10">
        <v>2025</v>
      </c>
      <c r="G66" s="10">
        <v>2026</v>
      </c>
      <c r="H66" s="10">
        <v>2027</v>
      </c>
      <c r="I66" s="10">
        <v>2028</v>
      </c>
      <c r="J66" s="10" t="s">
        <v>20</v>
      </c>
    </row>
    <row r="67" spans="1:10" ht="15" x14ac:dyDescent="0.25">
      <c r="A67" s="64"/>
      <c r="B67" s="65"/>
      <c r="C67" s="65"/>
      <c r="D67" s="65"/>
      <c r="E67" s="65"/>
      <c r="F67" s="8">
        <f>B67*$M$28/2</f>
        <v>0</v>
      </c>
      <c r="G67" s="8">
        <f>(B67*$N$28)+(B67/40)+((C67*$N$28/2))</f>
        <v>0</v>
      </c>
      <c r="H67" s="8">
        <f>((((B67)-((B67)/40))*$O$28)+((B67)/40))+(((C67)*$O$28)+(C67/40)+(D67*$O$28/2))</f>
        <v>0</v>
      </c>
      <c r="I67" s="8">
        <f>((((B67)-(((B67)/40)*2))*$P$28)+((B67/40))+((((C67)-(C67/40))*$P$28)+(C67/40)+(D67*$P$28)+(D67/40)+(E67*$P$28/2)))</f>
        <v>0</v>
      </c>
      <c r="J67" s="65"/>
    </row>
    <row r="68" spans="1:10" ht="15" x14ac:dyDescent="0.25">
      <c r="A68" s="64"/>
      <c r="B68" s="65"/>
      <c r="C68" s="65"/>
      <c r="D68" s="65"/>
      <c r="E68" s="65"/>
      <c r="F68" s="8">
        <f>B68*$M$28/2</f>
        <v>0</v>
      </c>
      <c r="G68" s="8">
        <f>(B68*$N$28)+(B68/40)+((C68*$N$28/2))</f>
        <v>0</v>
      </c>
      <c r="H68" s="8">
        <f>((((B68)-((B68)/40))*$O$28)+((B68)/40))+(((C68)*$O$28)+(C68/40)+(D68*$O$28/2))</f>
        <v>0</v>
      </c>
      <c r="I68" s="8">
        <f>((((B68)-(((B68)/40)*2))*$P$28)+((B68/40))+((((C68)-(C68/40))*$P$28)+(C68/40)+(D68*$P$28)+(D68/40)+(E68*$P$28/2)))</f>
        <v>0</v>
      </c>
      <c r="J68" s="65"/>
    </row>
    <row r="69" spans="1:10" ht="15" x14ac:dyDescent="0.25">
      <c r="A69" s="64"/>
      <c r="B69" s="65"/>
      <c r="C69" s="65"/>
      <c r="D69" s="65"/>
      <c r="E69" s="65"/>
      <c r="F69" s="8">
        <f>B69*$M$28/2</f>
        <v>0</v>
      </c>
      <c r="G69" s="8">
        <f>(B69*$N$28)+(B69/40)+((C69*$N$28/2))</f>
        <v>0</v>
      </c>
      <c r="H69" s="8">
        <f>((((B69)-((B69)/40))*$O$28)+((B69)/40))+(((C69)*$O$28)+(C69/40)+(D69*$O$28/2))</f>
        <v>0</v>
      </c>
      <c r="I69" s="8">
        <f>((((B69)-(((B69)/40)*2))*$P$28)+((B69/40))+((((C69)-(C69/40))*$P$28)+(C69/40)+(D69*$P$28)+(D69/40)+(E69*$P$28/2)))</f>
        <v>0</v>
      </c>
      <c r="J69" s="65"/>
    </row>
    <row r="70" spans="1:10" ht="15" x14ac:dyDescent="0.25">
      <c r="A70" s="10" t="s">
        <v>8</v>
      </c>
      <c r="B70" s="12">
        <f t="shared" ref="B70:I70" si="8">SUM(B67:B69)</f>
        <v>0</v>
      </c>
      <c r="C70" s="12">
        <f t="shared" si="8"/>
        <v>0</v>
      </c>
      <c r="D70" s="12">
        <f t="shared" si="8"/>
        <v>0</v>
      </c>
      <c r="E70" s="12">
        <f t="shared" si="8"/>
        <v>0</v>
      </c>
      <c r="F70" s="12">
        <f t="shared" si="8"/>
        <v>0</v>
      </c>
      <c r="G70" s="12">
        <f t="shared" si="8"/>
        <v>0</v>
      </c>
      <c r="H70" s="12">
        <f t="shared" si="8"/>
        <v>0</v>
      </c>
      <c r="I70" s="12">
        <f t="shared" si="8"/>
        <v>0</v>
      </c>
      <c r="J70" s="12"/>
    </row>
    <row r="71" spans="1:10" ht="15" x14ac:dyDescent="0.25">
      <c r="A71"/>
      <c r="B71"/>
      <c r="C71"/>
      <c r="D71"/>
      <c r="E71"/>
      <c r="F71"/>
      <c r="G71"/>
      <c r="H71"/>
      <c r="I71"/>
      <c r="J71"/>
    </row>
    <row r="72" spans="1:10" ht="15" x14ac:dyDescent="0.25">
      <c r="A72" s="11" t="s">
        <v>10</v>
      </c>
      <c r="B72" s="13">
        <f t="shared" ref="B72:I72" si="9">B33+B40+B46+B52+B58+B64+B70</f>
        <v>0</v>
      </c>
      <c r="C72" s="13">
        <f t="shared" si="9"/>
        <v>0</v>
      </c>
      <c r="D72" s="13">
        <f t="shared" si="9"/>
        <v>0</v>
      </c>
      <c r="E72" s="13">
        <f t="shared" si="9"/>
        <v>0</v>
      </c>
      <c r="F72" s="13">
        <f t="shared" si="9"/>
        <v>0</v>
      </c>
      <c r="G72" s="13">
        <f t="shared" si="9"/>
        <v>0</v>
      </c>
      <c r="H72" s="13">
        <f t="shared" si="9"/>
        <v>0</v>
      </c>
      <c r="I72" s="13">
        <f t="shared" si="9"/>
        <v>0</v>
      </c>
      <c r="J72" s="13"/>
    </row>
    <row r="73" spans="1:10" x14ac:dyDescent="0.2">
      <c r="A73" s="61"/>
      <c r="B73" s="61"/>
      <c r="C73" s="61"/>
      <c r="D73" s="61"/>
      <c r="E73" s="61"/>
      <c r="F73" s="61"/>
      <c r="G73" s="61"/>
      <c r="H73" s="61"/>
      <c r="I73" s="61"/>
    </row>
    <row r="74" spans="1:10" x14ac:dyDescent="0.2">
      <c r="A74" s="61"/>
      <c r="B74" s="61"/>
      <c r="C74" s="61"/>
      <c r="D74" s="61"/>
      <c r="E74" s="61"/>
      <c r="F74" s="61"/>
      <c r="G74" s="61"/>
      <c r="H74" s="61"/>
      <c r="I74" s="61"/>
    </row>
    <row r="75" spans="1:10" x14ac:dyDescent="0.2">
      <c r="A75" s="61"/>
      <c r="B75" s="61"/>
      <c r="C75" s="61"/>
      <c r="D75" s="61"/>
      <c r="E75" s="61"/>
      <c r="F75" s="61"/>
      <c r="G75" s="61"/>
      <c r="H75" s="61"/>
      <c r="I75" s="61"/>
    </row>
    <row r="76" spans="1:10" x14ac:dyDescent="0.2">
      <c r="A76" s="61"/>
      <c r="B76" s="61"/>
      <c r="C76" s="61"/>
      <c r="D76" s="61"/>
      <c r="E76" s="61"/>
      <c r="F76" s="61"/>
      <c r="G76" s="61"/>
      <c r="H76" s="61"/>
      <c r="I76" s="61"/>
    </row>
    <row r="77" spans="1:10" x14ac:dyDescent="0.2">
      <c r="A77" s="61"/>
      <c r="B77" s="61"/>
      <c r="C77" s="61"/>
      <c r="D77" s="61"/>
      <c r="E77" s="61"/>
      <c r="F77" s="61"/>
      <c r="G77" s="61"/>
      <c r="H77" s="61"/>
      <c r="I77" s="61"/>
    </row>
    <row r="78" spans="1:10" x14ac:dyDescent="0.2">
      <c r="A78" s="61"/>
      <c r="B78" s="61"/>
      <c r="C78" s="61"/>
      <c r="D78" s="61"/>
      <c r="E78" s="61"/>
      <c r="F78" s="61"/>
      <c r="G78" s="61"/>
      <c r="H78" s="61"/>
      <c r="I78" s="61"/>
    </row>
    <row r="79" spans="1:10" x14ac:dyDescent="0.2">
      <c r="A79" s="61"/>
      <c r="B79" s="61"/>
      <c r="C79" s="61"/>
      <c r="D79" s="61"/>
      <c r="E79" s="61"/>
      <c r="F79" s="61"/>
      <c r="G79" s="61"/>
      <c r="H79" s="61"/>
      <c r="I79" s="61"/>
    </row>
    <row r="80" spans="1:10" x14ac:dyDescent="0.2">
      <c r="A80" s="61"/>
      <c r="B80" s="61"/>
      <c r="C80" s="61"/>
      <c r="D80" s="61"/>
      <c r="E80" s="61"/>
      <c r="F80" s="61"/>
      <c r="G80" s="61"/>
      <c r="H80" s="61"/>
      <c r="I80" s="61"/>
    </row>
    <row r="81" spans="1:9" x14ac:dyDescent="0.2">
      <c r="A81" s="61"/>
      <c r="B81" s="61"/>
      <c r="C81" s="61"/>
      <c r="D81" s="61"/>
      <c r="E81" s="61"/>
      <c r="F81" s="61"/>
      <c r="G81" s="61"/>
      <c r="H81" s="61"/>
      <c r="I81" s="61"/>
    </row>
    <row r="82" spans="1:9" x14ac:dyDescent="0.2">
      <c r="A82" s="61"/>
      <c r="B82" s="61"/>
      <c r="C82" s="61"/>
      <c r="D82" s="61"/>
      <c r="E82" s="61"/>
      <c r="F82" s="61"/>
      <c r="G82" s="61"/>
      <c r="H82" s="61"/>
      <c r="I82" s="61"/>
    </row>
    <row r="83" spans="1:9" x14ac:dyDescent="0.2">
      <c r="A83" s="61"/>
      <c r="B83" s="61"/>
      <c r="C83" s="61"/>
      <c r="D83" s="61"/>
      <c r="E83" s="61"/>
      <c r="F83" s="61"/>
      <c r="G83" s="61"/>
      <c r="H83" s="61"/>
      <c r="I83" s="61"/>
    </row>
    <row r="84" spans="1:9" x14ac:dyDescent="0.2">
      <c r="A84" s="61"/>
      <c r="B84" s="61"/>
      <c r="C84" s="61"/>
      <c r="D84" s="61"/>
      <c r="E84" s="61"/>
      <c r="F84" s="61"/>
      <c r="G84" s="61"/>
      <c r="H84" s="61"/>
      <c r="I84" s="61"/>
    </row>
    <row r="85" spans="1:9" x14ac:dyDescent="0.2">
      <c r="A85" s="61"/>
      <c r="B85" s="61"/>
      <c r="C85" s="61"/>
      <c r="D85" s="61"/>
      <c r="E85" s="61"/>
      <c r="F85" s="61"/>
      <c r="G85" s="61"/>
      <c r="H85" s="61"/>
      <c r="I85" s="61"/>
    </row>
    <row r="86" spans="1:9" x14ac:dyDescent="0.2">
      <c r="A86" s="61"/>
      <c r="B86" s="61"/>
      <c r="C86" s="61"/>
      <c r="D86" s="61"/>
      <c r="E86" s="61"/>
      <c r="F86" s="61"/>
      <c r="G86" s="61"/>
      <c r="H86" s="61"/>
      <c r="I86" s="61"/>
    </row>
    <row r="87" spans="1:9" s="61" customFormat="1" x14ac:dyDescent="0.2"/>
    <row r="88" spans="1:9" s="61" customFormat="1" x14ac:dyDescent="0.2"/>
    <row r="89" spans="1:9" s="61" customFormat="1" x14ac:dyDescent="0.2"/>
    <row r="90" spans="1:9" s="61" customFormat="1" x14ac:dyDescent="0.2"/>
    <row r="91" spans="1:9" s="61" customFormat="1" x14ac:dyDescent="0.2"/>
    <row r="92" spans="1:9" s="61" customFormat="1" x14ac:dyDescent="0.2"/>
    <row r="93" spans="1:9" s="61" customFormat="1" x14ac:dyDescent="0.2"/>
    <row r="94" spans="1:9" s="61" customFormat="1" x14ac:dyDescent="0.2"/>
    <row r="95" spans="1:9" s="61" customFormat="1" x14ac:dyDescent="0.2"/>
    <row r="96" spans="1:9" s="61" customFormat="1" x14ac:dyDescent="0.2"/>
    <row r="97" spans="1:9" s="61" customFormat="1" x14ac:dyDescent="0.2"/>
    <row r="98" spans="1:9" s="61" customFormat="1" x14ac:dyDescent="0.2">
      <c r="A98" s="62"/>
      <c r="B98" s="62"/>
      <c r="C98" s="62"/>
      <c r="D98" s="62"/>
      <c r="E98" s="62"/>
      <c r="F98" s="62"/>
      <c r="G98" s="62"/>
      <c r="H98" s="62"/>
      <c r="I98" s="62"/>
    </row>
    <row r="99" spans="1:9" s="61" customFormat="1" x14ac:dyDescent="0.2">
      <c r="A99" s="62"/>
      <c r="B99" s="62"/>
      <c r="C99" s="62"/>
      <c r="D99" s="62"/>
      <c r="E99" s="62"/>
      <c r="F99" s="62"/>
      <c r="G99" s="62"/>
      <c r="H99" s="62"/>
      <c r="I99" s="62"/>
    </row>
    <row r="100" spans="1:9" s="61" customFormat="1" x14ac:dyDescent="0.2">
      <c r="A100" s="62"/>
      <c r="B100" s="62"/>
      <c r="C100" s="62"/>
      <c r="D100" s="62"/>
      <c r="E100" s="62"/>
      <c r="F100" s="62"/>
      <c r="G100" s="62"/>
      <c r="H100" s="62"/>
      <c r="I100" s="62"/>
    </row>
    <row r="101" spans="1:9" s="61" customFormat="1" x14ac:dyDescent="0.2">
      <c r="A101" s="62"/>
      <c r="B101" s="62"/>
      <c r="C101" s="62"/>
      <c r="D101" s="62"/>
      <c r="E101" s="62"/>
      <c r="F101" s="62"/>
      <c r="G101" s="62"/>
      <c r="H101" s="62"/>
      <c r="I101" s="62"/>
    </row>
    <row r="102" spans="1:9" s="61" customFormat="1" x14ac:dyDescent="0.2">
      <c r="A102" s="62"/>
      <c r="B102" s="62"/>
      <c r="C102" s="62"/>
      <c r="D102" s="62"/>
      <c r="E102" s="62"/>
      <c r="F102" s="62"/>
      <c r="G102" s="62"/>
      <c r="H102" s="62"/>
      <c r="I102" s="62"/>
    </row>
    <row r="103" spans="1:9" s="61" customFormat="1" x14ac:dyDescent="0.2">
      <c r="A103" s="62"/>
      <c r="B103" s="62"/>
      <c r="C103" s="62"/>
      <c r="D103" s="62"/>
      <c r="E103" s="62"/>
      <c r="F103" s="62"/>
      <c r="G103" s="62"/>
      <c r="H103" s="62"/>
      <c r="I103" s="62"/>
    </row>
    <row r="104" spans="1:9" s="61" customFormat="1" x14ac:dyDescent="0.2">
      <c r="A104" s="62"/>
      <c r="B104" s="62"/>
      <c r="C104" s="62"/>
      <c r="D104" s="62"/>
      <c r="E104" s="62"/>
      <c r="F104" s="62"/>
      <c r="G104" s="62"/>
      <c r="H104" s="62"/>
      <c r="I104" s="62"/>
    </row>
    <row r="105" spans="1:9" s="61" customFormat="1" x14ac:dyDescent="0.2">
      <c r="A105" s="62"/>
      <c r="B105" s="62"/>
      <c r="C105" s="62"/>
      <c r="D105" s="62"/>
      <c r="E105" s="62"/>
      <c r="F105" s="62"/>
      <c r="G105" s="62"/>
      <c r="H105" s="62"/>
      <c r="I105" s="62"/>
    </row>
    <row r="106" spans="1:9" s="61" customFormat="1" x14ac:dyDescent="0.2">
      <c r="A106" s="62"/>
      <c r="B106" s="62"/>
      <c r="C106" s="62"/>
      <c r="D106" s="62"/>
      <c r="E106" s="62"/>
      <c r="F106" s="62"/>
      <c r="G106" s="62"/>
      <c r="H106" s="62"/>
      <c r="I106" s="62"/>
    </row>
    <row r="107" spans="1:9" s="61" customFormat="1" x14ac:dyDescent="0.2">
      <c r="A107" s="62"/>
      <c r="B107" s="62"/>
      <c r="C107" s="62"/>
      <c r="D107" s="62"/>
      <c r="E107" s="62"/>
      <c r="F107" s="62"/>
      <c r="G107" s="62"/>
      <c r="H107" s="62"/>
      <c r="I107" s="62"/>
    </row>
    <row r="108" spans="1:9" s="61" customFormat="1" x14ac:dyDescent="0.2">
      <c r="A108" s="62"/>
      <c r="B108" s="62"/>
      <c r="C108" s="62"/>
      <c r="D108" s="62"/>
      <c r="E108" s="62"/>
      <c r="F108" s="62"/>
      <c r="G108" s="62"/>
      <c r="H108" s="62"/>
      <c r="I108" s="62"/>
    </row>
    <row r="109" spans="1:9" s="61" customFormat="1" x14ac:dyDescent="0.2">
      <c r="A109" s="62"/>
      <c r="B109" s="62"/>
      <c r="C109" s="62"/>
      <c r="D109" s="62"/>
      <c r="E109" s="62"/>
      <c r="F109" s="62"/>
      <c r="G109" s="62"/>
      <c r="H109" s="62"/>
      <c r="I109" s="62"/>
    </row>
    <row r="110" spans="1:9" s="61" customFormat="1" x14ac:dyDescent="0.2">
      <c r="A110" s="62"/>
      <c r="B110" s="62"/>
      <c r="C110" s="62"/>
      <c r="D110" s="62"/>
      <c r="E110" s="62"/>
      <c r="F110" s="62"/>
      <c r="G110" s="62"/>
      <c r="H110" s="62"/>
      <c r="I110" s="62"/>
    </row>
    <row r="111" spans="1:9" s="61" customFormat="1" x14ac:dyDescent="0.2">
      <c r="A111" s="62"/>
      <c r="B111" s="62"/>
      <c r="C111" s="62"/>
      <c r="D111" s="62"/>
      <c r="E111" s="62"/>
      <c r="F111" s="62"/>
      <c r="G111" s="62"/>
      <c r="H111" s="62"/>
      <c r="I111" s="62"/>
    </row>
    <row r="112" spans="1:9" s="61" customFormat="1" x14ac:dyDescent="0.2">
      <c r="A112" s="62"/>
      <c r="B112" s="62"/>
      <c r="C112" s="62"/>
      <c r="D112" s="62"/>
      <c r="E112" s="62"/>
      <c r="F112" s="62"/>
      <c r="G112" s="62"/>
      <c r="H112" s="62"/>
      <c r="I112" s="62"/>
    </row>
    <row r="113" spans="1:9" s="61" customFormat="1" x14ac:dyDescent="0.2">
      <c r="A113" s="62"/>
      <c r="B113" s="62"/>
      <c r="C113" s="62"/>
      <c r="D113" s="62"/>
      <c r="E113" s="62"/>
      <c r="F113" s="62"/>
      <c r="G113" s="62"/>
      <c r="H113" s="62"/>
      <c r="I113" s="62"/>
    </row>
    <row r="114" spans="1:9" s="61" customFormat="1" x14ac:dyDescent="0.2">
      <c r="A114" s="62"/>
      <c r="B114" s="62"/>
      <c r="C114" s="62"/>
      <c r="D114" s="62"/>
      <c r="E114" s="62"/>
      <c r="F114" s="62"/>
      <c r="G114" s="62"/>
      <c r="H114" s="62"/>
      <c r="I114" s="62"/>
    </row>
    <row r="115" spans="1:9" s="61" customFormat="1" x14ac:dyDescent="0.2">
      <c r="A115" s="62"/>
      <c r="B115" s="62"/>
      <c r="C115" s="62"/>
      <c r="D115" s="62"/>
      <c r="E115" s="62"/>
      <c r="F115" s="62"/>
      <c r="G115" s="62"/>
      <c r="H115" s="62"/>
      <c r="I115" s="62"/>
    </row>
    <row r="116" spans="1:9" s="61" customFormat="1" x14ac:dyDescent="0.2">
      <c r="A116" s="62"/>
      <c r="B116" s="62"/>
      <c r="C116" s="62"/>
      <c r="D116" s="62"/>
      <c r="E116" s="62"/>
      <c r="F116" s="62"/>
      <c r="G116" s="62"/>
      <c r="H116" s="62"/>
      <c r="I116" s="62"/>
    </row>
    <row r="117" spans="1:9" s="61" customFormat="1" x14ac:dyDescent="0.2">
      <c r="A117" s="62"/>
      <c r="B117" s="62"/>
      <c r="C117" s="62"/>
      <c r="D117" s="62"/>
      <c r="E117" s="62"/>
      <c r="F117" s="62"/>
      <c r="G117" s="62"/>
      <c r="H117" s="62"/>
      <c r="I117" s="62"/>
    </row>
  </sheetData>
  <sheetProtection sheet="1" objects="1" scenarios="1"/>
  <mergeCells count="4">
    <mergeCell ref="B8:E8"/>
    <mergeCell ref="F8:I8"/>
    <mergeCell ref="B35:E35"/>
    <mergeCell ref="F35:I35"/>
  </mergeCells>
  <pageMargins left="0.7" right="0.7" top="0.75" bottom="0.75" header="0.3" footer="0.3"/>
  <pageSetup paperSize="9" scale="60" orientation="portrait" r:id="rId1"/>
  <colBreaks count="1" manualBreakCount="1">
    <brk id="10" max="1048575" man="1"/>
  </colBreaks>
  <ignoredErrors>
    <ignoredError sqref="B40:E40 B46:E46 B52:E52 B58:E58 B64:E64 B70:E70 B31 C31:E31" formulaRange="1"/>
    <ignoredError sqref="F11:F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Økonomiplan drift</vt:lpstr>
      <vt:lpstr>Økonomiplan Investering</vt:lpstr>
      <vt:lpstr>'Økonomiplan drift'!Utskriftsområde</vt:lpstr>
      <vt:lpstr>'Økonomiplan Investering'!Utskriftsområde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Per-Arne Christensen</dc:creator>
  <cp:lastModifiedBy>Per-Arne Christensen</cp:lastModifiedBy>
  <cp:lastPrinted>2024-10-31T13:23:20Z</cp:lastPrinted>
  <dcterms:created xsi:type="dcterms:W3CDTF">2022-10-16T12:00:23Z</dcterms:created>
  <dcterms:modified xsi:type="dcterms:W3CDTF">2024-11-06T14:16:46Z</dcterms:modified>
</cp:coreProperties>
</file>